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new\"/>
    </mc:Choice>
  </mc:AlternateContent>
  <bookViews>
    <workbookView xWindow="0" yWindow="240" windowWidth="28800" windowHeight="12195"/>
  </bookViews>
  <sheets>
    <sheet name="Choose" sheetId="2" r:id="rId1"/>
    <sheet name="Calcs" sheetId="1" r:id="rId2"/>
  </sheets>
  <definedNames>
    <definedName name="All_Chars">Calcs!$E$35:$E$67</definedName>
    <definedName name="Char_Pool">"offset(Calcs!$M$5,,,Calcs!$H$2)"</definedName>
    <definedName name="Cylon_Leader">Choose!$E$11</definedName>
    <definedName name="Day_Choose">Choose!$H$14</definedName>
    <definedName name="Exo_Choose">Choose!$H$13</definedName>
    <definedName name="Leg_Team_Check">Calcs!$O$44</definedName>
    <definedName name="Leg_Team_Reason">Calcs!$M$66</definedName>
    <definedName name="Must_nots">OFFSET(Choose!$E$14,,,Num_Players)</definedName>
    <definedName name="Musts">OFFSET(Choose!$D$14,,,Num_Players)</definedName>
    <definedName name="Num_Players">Choose!$C$11</definedName>
    <definedName name="Peg_Choose">Choose!$H$12</definedName>
    <definedName name="Rand_Nos">OFFSET(Calcs!$O$6,,,Calcs!$H$3)</definedName>
    <definedName name="Roles">Calcs!$AJ$4:$AK$7</definedName>
    <definedName name="Sup_Max">Choose!$H$18</definedName>
    <definedName name="Sup_Min">Choose!$H$17</definedName>
    <definedName name="TeamCats">OFFSET(Calcs!$V$6,,,Num_Players)</definedName>
    <definedName name="TeamNames">OFFSET(Calcs!$U$6,,,Num_Players)</definedName>
    <definedName name="Validity">Calcs!$AI$4</definedName>
  </definedNames>
  <calcPr calcId="152511" calcMode="manual" calcCompleted="0" calcOnSave="0"/>
</workbook>
</file>

<file path=xl/calcChain.xml><?xml version="1.0" encoding="utf-8"?>
<calcChain xmlns="http://schemas.openxmlformats.org/spreadsheetml/2006/main">
  <c r="C25" i="2" l="1"/>
  <c r="L49" i="1" l="1"/>
  <c r="L61" i="1" l="1"/>
  <c r="L63" i="1" l="1"/>
  <c r="H21" i="1" l="1"/>
  <c r="H22" i="1"/>
  <c r="H23" i="1"/>
  <c r="H20" i="1"/>
  <c r="L62" i="1"/>
  <c r="L59" i="1"/>
  <c r="L60" i="1"/>
  <c r="L58" i="1" l="1"/>
  <c r="L57" i="1"/>
  <c r="C36" i="1" l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35" i="1"/>
  <c r="L47" i="1"/>
  <c r="L46" i="1"/>
  <c r="L48" i="1" l="1"/>
  <c r="AF20" i="1"/>
  <c r="AD20" i="1" s="1"/>
  <c r="AF21" i="1"/>
  <c r="AD21" i="1" s="1"/>
  <c r="AG21" i="1" s="1"/>
  <c r="AF22" i="1"/>
  <c r="AD22" i="1" s="1"/>
  <c r="AF23" i="1"/>
  <c r="AD23" i="1" s="1"/>
  <c r="AF24" i="1"/>
  <c r="AD24" i="1" s="1"/>
  <c r="AF25" i="1"/>
  <c r="AD25" i="1" s="1"/>
  <c r="AF26" i="1"/>
  <c r="AD26" i="1" s="1"/>
  <c r="U21" i="1"/>
  <c r="O6" i="1"/>
  <c r="H16" i="1"/>
  <c r="H17" i="1"/>
  <c r="H18" i="1"/>
  <c r="H19" i="1"/>
  <c r="H24" i="1"/>
  <c r="H25" i="1"/>
  <c r="H26" i="1"/>
  <c r="H27" i="1"/>
  <c r="H28" i="1"/>
  <c r="H29" i="1"/>
  <c r="H30" i="1"/>
  <c r="H31" i="1"/>
  <c r="C7" i="1"/>
  <c r="C8" i="1" s="1"/>
  <c r="C9" i="1" s="1"/>
  <c r="C10" i="1" s="1"/>
  <c r="C11" i="1" s="1"/>
  <c r="C12" i="1" s="1"/>
  <c r="C13" i="1" s="1"/>
  <c r="C14" i="1" s="1"/>
  <c r="C15" i="1" s="1"/>
  <c r="AL21" i="1"/>
  <c r="AL22" i="1" s="1"/>
  <c r="AL23" i="1" s="1"/>
  <c r="AL24" i="1" s="1"/>
  <c r="AL25" i="1" s="1"/>
  <c r="N6" i="1"/>
  <c r="M6" i="1"/>
  <c r="K6" i="1" s="1"/>
  <c r="AL35" i="1"/>
  <c r="AL36" i="1" s="1"/>
  <c r="B27" i="2" s="1"/>
  <c r="S35" i="1"/>
  <c r="U35" i="1" s="1"/>
  <c r="O35" i="1"/>
  <c r="K35" i="1" s="1"/>
  <c r="O36" i="1"/>
  <c r="O37" i="1"/>
  <c r="O38" i="1"/>
  <c r="O39" i="1"/>
  <c r="O40" i="1"/>
  <c r="O41" i="1"/>
  <c r="AS21" i="1"/>
  <c r="AS22" i="1"/>
  <c r="AS23" i="1"/>
  <c r="AS24" i="1"/>
  <c r="AS25" i="1"/>
  <c r="AS26" i="1"/>
  <c r="AS20" i="1"/>
  <c r="AU21" i="1"/>
  <c r="AT21" i="1"/>
  <c r="AT22" i="1"/>
  <c r="AU22" i="1"/>
  <c r="AT23" i="1"/>
  <c r="AU23" i="1"/>
  <c r="AU24" i="1"/>
  <c r="AT24" i="1"/>
  <c r="AT25" i="1"/>
  <c r="AU25" i="1"/>
  <c r="AT26" i="1"/>
  <c r="AU26" i="1"/>
  <c r="AU20" i="1"/>
  <c r="AT20" i="1"/>
  <c r="B25" i="2"/>
  <c r="BK26" i="1" l="1"/>
  <c r="BS26" i="1"/>
  <c r="BI26" i="1"/>
  <c r="BO26" i="1"/>
  <c r="BG26" i="1"/>
  <c r="BM26" i="1"/>
  <c r="BE26" i="1"/>
  <c r="BO22" i="1"/>
  <c r="BG22" i="1"/>
  <c r="BM22" i="1"/>
  <c r="BE22" i="1"/>
  <c r="BK22" i="1"/>
  <c r="BS22" i="1"/>
  <c r="BI22" i="1"/>
  <c r="BI20" i="1"/>
  <c r="BO20" i="1"/>
  <c r="BG20" i="1"/>
  <c r="BM20" i="1"/>
  <c r="BE20" i="1"/>
  <c r="BK20" i="1"/>
  <c r="L56" i="1"/>
  <c r="BJ26" i="1"/>
  <c r="BH26" i="1"/>
  <c r="BN26" i="1"/>
  <c r="BF26" i="1"/>
  <c r="BD26" i="1"/>
  <c r="BL26" i="1"/>
  <c r="BN22" i="1"/>
  <c r="BF22" i="1"/>
  <c r="BL22" i="1"/>
  <c r="BD22" i="1"/>
  <c r="L52" i="1"/>
  <c r="BJ22" i="1"/>
  <c r="BH22" i="1"/>
  <c r="BL24" i="1"/>
  <c r="BD24" i="1"/>
  <c r="BF24" i="1"/>
  <c r="L54" i="1"/>
  <c r="BN24" i="1"/>
  <c r="BJ24" i="1"/>
  <c r="BH24" i="1"/>
  <c r="BH20" i="1"/>
  <c r="BN20" i="1"/>
  <c r="BF20" i="1"/>
  <c r="BL20" i="1"/>
  <c r="BD20" i="1"/>
  <c r="BJ20" i="1"/>
  <c r="L50" i="1"/>
  <c r="BK25" i="1"/>
  <c r="BI25" i="1"/>
  <c r="BE25" i="1"/>
  <c r="BM25" i="1"/>
  <c r="BO25" i="1"/>
  <c r="BG25" i="1"/>
  <c r="BH21" i="1"/>
  <c r="BN21" i="1"/>
  <c r="BF21" i="1"/>
  <c r="BL21" i="1"/>
  <c r="BD21" i="1"/>
  <c r="L51" i="1"/>
  <c r="BJ21" i="1"/>
  <c r="BN23" i="1"/>
  <c r="BF23" i="1"/>
  <c r="BL23" i="1"/>
  <c r="BD23" i="1"/>
  <c r="L53" i="1"/>
  <c r="BJ23" i="1"/>
  <c r="BH23" i="1"/>
  <c r="BL25" i="1"/>
  <c r="BD25" i="1"/>
  <c r="L55" i="1"/>
  <c r="BJ25" i="1"/>
  <c r="BH25" i="1"/>
  <c r="BN25" i="1"/>
  <c r="BF25" i="1"/>
  <c r="BO21" i="1"/>
  <c r="BG21" i="1"/>
  <c r="BM21" i="1"/>
  <c r="BE21" i="1"/>
  <c r="BI21" i="1"/>
  <c r="BK21" i="1"/>
  <c r="BM24" i="1"/>
  <c r="BE24" i="1"/>
  <c r="BK24" i="1"/>
  <c r="BS24" i="1"/>
  <c r="BI24" i="1"/>
  <c r="BO24" i="1"/>
  <c r="BG24" i="1"/>
  <c r="BM23" i="1"/>
  <c r="BE23" i="1"/>
  <c r="BK23" i="1"/>
  <c r="BI23" i="1"/>
  <c r="BG23" i="1"/>
  <c r="BO23" i="1"/>
  <c r="C16" i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AY25" i="1"/>
  <c r="AY23" i="1"/>
  <c r="AY26" i="1"/>
  <c r="AY22" i="1"/>
  <c r="AW23" i="1"/>
  <c r="BR23" i="1" s="1"/>
  <c r="AY24" i="1"/>
  <c r="AV23" i="1"/>
  <c r="BQ23" i="1" s="1"/>
  <c r="AW21" i="1"/>
  <c r="BR21" i="1" s="1"/>
  <c r="AV25" i="1"/>
  <c r="BQ25" i="1" s="1"/>
  <c r="AW20" i="1"/>
  <c r="BR20" i="1" s="1"/>
  <c r="H3" i="1"/>
  <c r="L7" i="1" s="1"/>
  <c r="M7" i="1" s="1"/>
  <c r="AY21" i="1"/>
  <c r="AY20" i="1"/>
  <c r="AV26" i="1"/>
  <c r="BQ26" i="1" s="1"/>
  <c r="AV22" i="1"/>
  <c r="BQ22" i="1" s="1"/>
  <c r="AW26" i="1"/>
  <c r="AW22" i="1"/>
  <c r="BR22" i="1" s="1"/>
  <c r="AW25" i="1"/>
  <c r="BR25" i="1" s="1"/>
  <c r="AV20" i="1"/>
  <c r="BQ20" i="1" s="1"/>
  <c r="AV24" i="1"/>
  <c r="BQ24" i="1" s="1"/>
  <c r="AV21" i="1"/>
  <c r="BQ21" i="1" s="1"/>
  <c r="AW24" i="1"/>
  <c r="BR24" i="1" s="1"/>
  <c r="AE25" i="1"/>
  <c r="O34" i="1"/>
  <c r="S36" i="1" s="1"/>
  <c r="K36" i="1"/>
  <c r="K37" i="1" s="1"/>
  <c r="K38" i="1" s="1"/>
  <c r="K39" i="1" s="1"/>
  <c r="K40" i="1" s="1"/>
  <c r="K41" i="1" s="1"/>
  <c r="AL37" i="1"/>
  <c r="B26" i="2"/>
  <c r="AE24" i="1"/>
  <c r="AE26" i="1"/>
  <c r="AE22" i="1"/>
  <c r="AE20" i="1"/>
  <c r="AE23" i="1"/>
  <c r="AE21" i="1"/>
  <c r="AG22" i="1"/>
  <c r="O44" i="1" l="1"/>
  <c r="N7" i="1"/>
  <c r="K7" i="1" s="1"/>
  <c r="L8" i="1"/>
  <c r="O8" i="1" s="1"/>
  <c r="O7" i="1"/>
  <c r="T35" i="1"/>
  <c r="T36" i="1"/>
  <c r="U36" i="1"/>
  <c r="S37" i="1"/>
  <c r="AI21" i="1"/>
  <c r="AJ21" i="1" s="1"/>
  <c r="AL38" i="1"/>
  <c r="B28" i="2"/>
  <c r="AI20" i="1"/>
  <c r="AG23" i="1"/>
  <c r="AI22" i="1"/>
  <c r="AJ22" i="1" s="1"/>
  <c r="AJ20" i="1" l="1"/>
  <c r="AH20" i="1" s="1"/>
  <c r="AH21" i="1" s="1"/>
  <c r="AM20" i="1" s="1"/>
  <c r="AM35" i="1"/>
  <c r="C26" i="2" s="1"/>
  <c r="M8" i="1"/>
  <c r="N8" i="1"/>
  <c r="L9" i="1"/>
  <c r="L10" i="1" s="1"/>
  <c r="U37" i="1"/>
  <c r="S38" i="1"/>
  <c r="T37" i="1"/>
  <c r="AM34" i="1"/>
  <c r="B29" i="2"/>
  <c r="AL40" i="1"/>
  <c r="AM36" i="1"/>
  <c r="C27" i="2" s="1"/>
  <c r="AI23" i="1"/>
  <c r="AJ23" i="1" s="1"/>
  <c r="AG24" i="1"/>
  <c r="AG25" i="1" s="1"/>
  <c r="K8" i="1" l="1"/>
  <c r="AI25" i="1"/>
  <c r="AJ25" i="1" s="1"/>
  <c r="AG26" i="1"/>
  <c r="AI26" i="1" s="1"/>
  <c r="AJ26" i="1" s="1"/>
  <c r="M9" i="1"/>
  <c r="K9" i="1" s="1"/>
  <c r="N9" i="1"/>
  <c r="O9" i="1"/>
  <c r="L11" i="1"/>
  <c r="M10" i="1"/>
  <c r="K10" i="1" s="1"/>
  <c r="O10" i="1"/>
  <c r="N10" i="1"/>
  <c r="U38" i="1"/>
  <c r="T38" i="1"/>
  <c r="S39" i="1"/>
  <c r="AH22" i="1"/>
  <c r="AL41" i="1"/>
  <c r="B30" i="2"/>
  <c r="AI24" i="1"/>
  <c r="AJ24" i="1" s="1"/>
  <c r="AM37" i="1"/>
  <c r="AM41" i="1" l="1"/>
  <c r="C31" i="2" s="1"/>
  <c r="AM40" i="1"/>
  <c r="C30" i="2" s="1"/>
  <c r="AH23" i="1"/>
  <c r="AH24" i="1" s="1"/>
  <c r="AH25" i="1" s="1"/>
  <c r="AH26" i="1" s="1"/>
  <c r="M11" i="1"/>
  <c r="O11" i="1"/>
  <c r="L12" i="1"/>
  <c r="N11" i="1"/>
  <c r="U39" i="1"/>
  <c r="T39" i="1"/>
  <c r="S40" i="1"/>
  <c r="AM21" i="1"/>
  <c r="B31" i="2"/>
  <c r="AM38" i="1"/>
  <c r="C28" i="2"/>
  <c r="K11" i="1" l="1"/>
  <c r="AM22" i="1"/>
  <c r="L13" i="1"/>
  <c r="M12" i="1"/>
  <c r="K12" i="1" s="1"/>
  <c r="O12" i="1"/>
  <c r="N12" i="1"/>
  <c r="AM23" i="1"/>
  <c r="U40" i="1"/>
  <c r="T40" i="1"/>
  <c r="S41" i="1"/>
  <c r="AM24" i="1"/>
  <c r="AM25" i="1"/>
  <c r="C29" i="2"/>
  <c r="M13" i="1" l="1"/>
  <c r="K13" i="1" s="1"/>
  <c r="N13" i="1"/>
  <c r="O13" i="1"/>
  <c r="L14" i="1"/>
  <c r="U41" i="1"/>
  <c r="S21" i="1" s="1"/>
  <c r="T41" i="1"/>
  <c r="T21" i="1" l="1"/>
  <c r="L15" i="1"/>
  <c r="M14" i="1"/>
  <c r="K14" i="1" s="1"/>
  <c r="O14" i="1"/>
  <c r="N14" i="1"/>
  <c r="N15" i="1" l="1"/>
  <c r="O15" i="1"/>
  <c r="L16" i="1"/>
  <c r="M15" i="1"/>
  <c r="K15" i="1" s="1"/>
  <c r="L17" i="1" l="1"/>
  <c r="M16" i="1"/>
  <c r="K16" i="1" s="1"/>
  <c r="O16" i="1"/>
  <c r="N16" i="1"/>
  <c r="M17" i="1" l="1"/>
  <c r="K17" i="1" s="1"/>
  <c r="O17" i="1"/>
  <c r="L18" i="1"/>
  <c r="N17" i="1"/>
  <c r="L19" i="1" l="1"/>
  <c r="N18" i="1"/>
  <c r="O18" i="1"/>
  <c r="M18" i="1"/>
  <c r="K18" i="1" s="1"/>
  <c r="N19" i="1" l="1"/>
  <c r="M19" i="1"/>
  <c r="K19" i="1" s="1"/>
  <c r="O19" i="1"/>
  <c r="L20" i="1"/>
  <c r="L21" i="1" l="1"/>
  <c r="M20" i="1"/>
  <c r="K20" i="1" s="1"/>
  <c r="N20" i="1"/>
  <c r="O20" i="1"/>
  <c r="M21" i="1" l="1"/>
  <c r="K21" i="1" s="1"/>
  <c r="O21" i="1"/>
  <c r="L22" i="1"/>
  <c r="N21" i="1"/>
  <c r="L23" i="1" l="1"/>
  <c r="M22" i="1"/>
  <c r="O22" i="1"/>
  <c r="N22" i="1"/>
  <c r="K22" i="1" l="1"/>
  <c r="O23" i="1"/>
  <c r="N23" i="1"/>
  <c r="L24" i="1"/>
  <c r="M23" i="1"/>
  <c r="K23" i="1" s="1"/>
  <c r="L25" i="1" l="1"/>
  <c r="N24" i="1"/>
  <c r="O24" i="1"/>
  <c r="M24" i="1"/>
  <c r="K24" i="1" l="1"/>
  <c r="N25" i="1"/>
  <c r="O25" i="1"/>
  <c r="L26" i="1"/>
  <c r="M25" i="1"/>
  <c r="K25" i="1" s="1"/>
  <c r="L27" i="1" l="1"/>
  <c r="M26" i="1"/>
  <c r="N26" i="1"/>
  <c r="O26" i="1"/>
  <c r="K26" i="1" l="1"/>
  <c r="N27" i="1"/>
  <c r="O27" i="1"/>
  <c r="L28" i="1"/>
  <c r="M27" i="1"/>
  <c r="K27" i="1" l="1"/>
  <c r="L29" i="1"/>
  <c r="N28" i="1"/>
  <c r="O28" i="1"/>
  <c r="M28" i="1"/>
  <c r="K28" i="1" l="1"/>
  <c r="N29" i="1"/>
  <c r="O29" i="1"/>
  <c r="L30" i="1"/>
  <c r="M29" i="1"/>
  <c r="K29" i="1" s="1"/>
  <c r="L31" i="1" l="1"/>
  <c r="S30" i="1"/>
  <c r="N30" i="1"/>
  <c r="O30" i="1"/>
  <c r="M30" i="1"/>
  <c r="K30" i="1" s="1"/>
  <c r="S11" i="1" l="1"/>
  <c r="M31" i="1"/>
  <c r="O31" i="1"/>
  <c r="S10" i="1" s="1"/>
  <c r="N31" i="1"/>
  <c r="S31" i="1"/>
  <c r="U30" i="1"/>
  <c r="V30" i="1"/>
  <c r="W30" i="1" s="1"/>
  <c r="K31" i="1" l="1"/>
  <c r="S8" i="1"/>
  <c r="U8" i="1" s="1"/>
  <c r="S9" i="1"/>
  <c r="U9" i="1" s="1"/>
  <c r="U31" i="1"/>
  <c r="V31" i="1"/>
  <c r="W31" i="1" s="1"/>
  <c r="V10" i="1"/>
  <c r="U10" i="1"/>
  <c r="V11" i="1"/>
  <c r="U11" i="1"/>
  <c r="S6" i="1"/>
  <c r="S7" i="1"/>
  <c r="M65" i="1" l="1"/>
  <c r="M66" i="1" s="1"/>
  <c r="W11" i="1"/>
  <c r="AQ25" i="1" s="1"/>
  <c r="AQ41" i="1" s="1"/>
  <c r="Y11" i="1"/>
  <c r="Z11" i="1"/>
  <c r="X11" i="1"/>
  <c r="X10" i="1"/>
  <c r="V8" i="1"/>
  <c r="W8" i="1" s="1"/>
  <c r="AQ22" i="1" s="1"/>
  <c r="Y10" i="1"/>
  <c r="Z10" i="1"/>
  <c r="V9" i="1"/>
  <c r="W9" i="1" s="1"/>
  <c r="AQ23" i="1" s="1"/>
  <c r="V7" i="1"/>
  <c r="W7" i="1" s="1"/>
  <c r="AQ21" i="1" s="1"/>
  <c r="U7" i="1"/>
  <c r="AO25" i="1"/>
  <c r="AO41" i="1" s="1"/>
  <c r="V6" i="1"/>
  <c r="U6" i="1"/>
  <c r="AO24" i="1"/>
  <c r="W10" i="1"/>
  <c r="AQ24" i="1" s="1"/>
  <c r="E31" i="2" l="1"/>
  <c r="G31" i="2"/>
  <c r="AO40" i="1"/>
  <c r="E30" i="2" s="1"/>
  <c r="AQ40" i="1"/>
  <c r="X8" i="1"/>
  <c r="AO22" i="1"/>
  <c r="AQ37" i="1"/>
  <c r="Y8" i="1"/>
  <c r="Z8" i="1"/>
  <c r="AD9" i="1"/>
  <c r="AQ36" i="1"/>
  <c r="X9" i="1"/>
  <c r="AQ38" i="1"/>
  <c r="X6" i="1"/>
  <c r="Y6" i="1"/>
  <c r="AO23" i="1"/>
  <c r="AO38" i="1" s="1"/>
  <c r="Z9" i="1"/>
  <c r="Y9" i="1"/>
  <c r="X7" i="1"/>
  <c r="AD8" i="1"/>
  <c r="Z7" i="1"/>
  <c r="Y7" i="1"/>
  <c r="Z6" i="1"/>
  <c r="AO20" i="1"/>
  <c r="AD6" i="1"/>
  <c r="AD11" i="1"/>
  <c r="AD10" i="1"/>
  <c r="W6" i="1"/>
  <c r="AQ20" i="1" s="1"/>
  <c r="AF9" i="1"/>
  <c r="AG4" i="1" s="1"/>
  <c r="AF6" i="1"/>
  <c r="AF7" i="1"/>
  <c r="AF8" i="1"/>
  <c r="AO21" i="1"/>
  <c r="AD7" i="1"/>
  <c r="G30" i="2" l="1"/>
  <c r="G28" i="2"/>
  <c r="T7" i="1"/>
  <c r="AN21" i="1" s="1"/>
  <c r="T6" i="1"/>
  <c r="AN20" i="1" s="1"/>
  <c r="T11" i="1"/>
  <c r="AN25" i="1" s="1"/>
  <c r="AN41" i="1" s="1"/>
  <c r="D31" i="2" s="1"/>
  <c r="T9" i="1"/>
  <c r="AN23" i="1" s="1"/>
  <c r="T8" i="1"/>
  <c r="AN22" i="1" s="1"/>
  <c r="T10" i="1"/>
  <c r="AN24" i="1" s="1"/>
  <c r="G29" i="2"/>
  <c r="AO36" i="1"/>
  <c r="E29" i="2"/>
  <c r="G27" i="2"/>
  <c r="T31" i="1"/>
  <c r="AO37" i="1"/>
  <c r="AQ35" i="1"/>
  <c r="AQ34" i="1"/>
  <c r="BS21" i="1" s="1"/>
  <c r="AO35" i="1"/>
  <c r="AO34" i="1"/>
  <c r="T30" i="1"/>
  <c r="AD4" i="1"/>
  <c r="AE4" i="1"/>
  <c r="BS23" i="1" l="1"/>
  <c r="BB20" i="1"/>
  <c r="BB26" i="1"/>
  <c r="BS25" i="1"/>
  <c r="BA26" i="1"/>
  <c r="BS20" i="1"/>
  <c r="BR26" i="1"/>
  <c r="BA20" i="1"/>
  <c r="BB25" i="1"/>
  <c r="BA25" i="1"/>
  <c r="BA22" i="1"/>
  <c r="BB22" i="1"/>
  <c r="BA23" i="1"/>
  <c r="BB23" i="1"/>
  <c r="BA24" i="1"/>
  <c r="BB24" i="1"/>
  <c r="BB21" i="1"/>
  <c r="BA21" i="1"/>
  <c r="E26" i="2"/>
  <c r="E28" i="2"/>
  <c r="AN40" i="1"/>
  <c r="D30" i="2" s="1"/>
  <c r="E27" i="2"/>
  <c r="E25" i="2"/>
  <c r="G26" i="2"/>
  <c r="G25" i="2"/>
  <c r="AN37" i="1"/>
  <c r="D28" i="2" s="1"/>
  <c r="AN38" i="1"/>
  <c r="D29" i="2" s="1"/>
  <c r="AN36" i="1"/>
  <c r="D27" i="2" s="1"/>
  <c r="AN35" i="1"/>
  <c r="D26" i="2" s="1"/>
  <c r="AN34" i="1"/>
  <c r="D25" i="2" s="1"/>
  <c r="AU17" i="1" l="1"/>
  <c r="AI4" i="1" s="1"/>
  <c r="F22" i="2" s="1"/>
</calcChain>
</file>

<file path=xl/sharedStrings.xml><?xml version="1.0" encoding="utf-8"?>
<sst xmlns="http://schemas.openxmlformats.org/spreadsheetml/2006/main" count="316" uniqueCount="143">
  <si>
    <t>Laura Roslin</t>
  </si>
  <si>
    <t>Gaius Baltar</t>
  </si>
  <si>
    <t>Tom Zarek</t>
  </si>
  <si>
    <t>William Adama</t>
  </si>
  <si>
    <t>Saul Tigh</t>
  </si>
  <si>
    <t>Helo</t>
  </si>
  <si>
    <t>Starbuck</t>
  </si>
  <si>
    <t>Boomer</t>
  </si>
  <si>
    <t>Pol</t>
  </si>
  <si>
    <t>Mil</t>
  </si>
  <si>
    <t>Pil</t>
  </si>
  <si>
    <t>Sup</t>
  </si>
  <si>
    <t>Category</t>
  </si>
  <si>
    <t>Character</t>
  </si>
  <si>
    <t>Set</t>
  </si>
  <si>
    <t>Base</t>
  </si>
  <si>
    <t>Pegasus</t>
  </si>
  <si>
    <t>Exodus</t>
  </si>
  <si>
    <t>Daybreak</t>
  </si>
  <si>
    <t>Kat</t>
  </si>
  <si>
    <t>Helena Cain</t>
  </si>
  <si>
    <t>Ellen Tigh</t>
  </si>
  <si>
    <t>Tory Foster</t>
  </si>
  <si>
    <t>Galen Tyrol</t>
  </si>
  <si>
    <t>Felix Gaeta</t>
  </si>
  <si>
    <t>Doc Cottle</t>
  </si>
  <si>
    <t>Romo Lampkin</t>
  </si>
  <si>
    <t>Lee Adama</t>
  </si>
  <si>
    <t>Louis Hoshi</t>
  </si>
  <si>
    <t>Hotdog</t>
  </si>
  <si>
    <t>#</t>
  </si>
  <si>
    <t># Players</t>
  </si>
  <si>
    <t>Expansions</t>
  </si>
  <si>
    <t>Yes</t>
  </si>
  <si>
    <t>All characters</t>
  </si>
  <si>
    <t>In play?</t>
  </si>
  <si>
    <t>Character pool</t>
  </si>
  <si>
    <t>Rand</t>
  </si>
  <si>
    <t>Rank</t>
  </si>
  <si>
    <t>Validity Checks</t>
  </si>
  <si>
    <t>Duplicate chars</t>
  </si>
  <si>
    <t># Pol</t>
  </si>
  <si>
    <t># Mil</t>
  </si>
  <si>
    <t># Pil</t>
  </si>
  <si>
    <t># Sup</t>
  </si>
  <si>
    <t>CHOSEN CREW</t>
  </si>
  <si>
    <t>PLAYER</t>
  </si>
  <si>
    <t>CHARACTER</t>
  </si>
  <si>
    <t>ROLE</t>
  </si>
  <si>
    <t>Role count</t>
  </si>
  <si>
    <t># Support chars</t>
  </si>
  <si>
    <t>Callandra Tyrol</t>
  </si>
  <si>
    <t>Anastasia Dualla</t>
  </si>
  <si>
    <t>Political</t>
  </si>
  <si>
    <t>Military</t>
  </si>
  <si>
    <t>Pilot</t>
  </si>
  <si>
    <t>Support</t>
  </si>
  <si>
    <t>Overall</t>
  </si>
  <si>
    <t>Lines of succession</t>
  </si>
  <si>
    <t>President</t>
  </si>
  <si>
    <t>Admiral</t>
  </si>
  <si>
    <t>CAG</t>
  </si>
  <si>
    <t>Pres</t>
  </si>
  <si>
    <t>Adm</t>
  </si>
  <si>
    <t>Samuel Anders</t>
  </si>
  <si>
    <t>TITLE</t>
  </si>
  <si>
    <t>Title</t>
  </si>
  <si>
    <t>Player Names</t>
  </si>
  <si>
    <t>Name</t>
  </si>
  <si>
    <t>NAME</t>
  </si>
  <si>
    <t>Assign Player Numbers</t>
  </si>
  <si>
    <t>Player #</t>
  </si>
  <si>
    <t>Ordered</t>
  </si>
  <si>
    <t># Support Characters</t>
  </si>
  <si>
    <t>At least:</t>
  </si>
  <si>
    <t>At most:</t>
  </si>
  <si>
    <t>Must play as:</t>
  </si>
  <si>
    <t>Must NOT play as:</t>
  </si>
  <si>
    <t>Check player conditions</t>
  </si>
  <si>
    <t>Musts</t>
  </si>
  <si>
    <t>Must nots</t>
  </si>
  <si>
    <t>Gaius Baltar (Pol)</t>
  </si>
  <si>
    <t>Gaius Baltar (Sup)</t>
  </si>
  <si>
    <t>Helo (Mil)</t>
  </si>
  <si>
    <t>Helo (Pil)</t>
  </si>
  <si>
    <t>Tom Zarek (Mil)</t>
  </si>
  <si>
    <t>Tom Zarek (Pol)</t>
  </si>
  <si>
    <t>Apollo</t>
  </si>
  <si>
    <t>Gaius BaltarPolitical</t>
  </si>
  <si>
    <t>Gaius BaltarSupport</t>
  </si>
  <si>
    <t>Regular chars</t>
  </si>
  <si>
    <t>HeloPilot</t>
  </si>
  <si>
    <t>HeloMilitary</t>
  </si>
  <si>
    <t>Tom ZarekMilitary</t>
  </si>
  <si>
    <t>Tom ZarekPolitical</t>
  </si>
  <si>
    <t>----------</t>
  </si>
  <si>
    <t>Category chosen?</t>
  </si>
  <si>
    <t>Categories</t>
  </si>
  <si>
    <t>Must</t>
  </si>
  <si>
    <t>Must not</t>
  </si>
  <si>
    <t>Cylon Leader?</t>
  </si>
  <si>
    <t>Aaron Doral</t>
  </si>
  <si>
    <t>"Caprica" Six</t>
  </si>
  <si>
    <t>Cavil</t>
  </si>
  <si>
    <t>D'Anna Biers</t>
  </si>
  <si>
    <t>Leoben Conoy</t>
  </si>
  <si>
    <t>Simon O'Neill</t>
  </si>
  <si>
    <t>Cylon Leader</t>
  </si>
  <si>
    <t>Cylon Leaders</t>
  </si>
  <si>
    <t>Cylon Leader Pool</t>
  </si>
  <si>
    <t>Which player?</t>
  </si>
  <si>
    <t>CL?</t>
  </si>
  <si>
    <t>Must Not</t>
  </si>
  <si>
    <t>Version 3</t>
  </si>
  <si>
    <t>Athena</t>
  </si>
  <si>
    <t>Final Team</t>
  </si>
  <si>
    <t>Alternate char?</t>
  </si>
  <si>
    <t>Legitimate Team Checks</t>
  </si>
  <si>
    <t>Final Team (excl CL)</t>
  </si>
  <si>
    <t>Error</t>
  </si>
  <si>
    <t>Reason</t>
  </si>
  <si>
    <t>Cylon Leader required in 7-player game</t>
  </si>
  <si>
    <t>Cylon Leader unavailable in 3-player game</t>
  </si>
  <si>
    <t>too many characters preferring Support</t>
  </si>
  <si>
    <t>duplicate preferred characters chosen</t>
  </si>
  <si>
    <t>too many characters of one type preferred</t>
  </si>
  <si>
    <t>too many characters of one type not preferred</t>
  </si>
  <si>
    <t>no characters available to meet Support criteria</t>
  </si>
  <si>
    <t>preferred character(s) not in play</t>
  </si>
  <si>
    <t>no characters available to play Cylon Leader</t>
  </si>
  <si>
    <t>Preference</t>
  </si>
  <si>
    <r>
      <t xml:space="preserve">All characters </t>
    </r>
    <r>
      <rPr>
        <sz val="11"/>
        <color theme="1"/>
        <rFont val="Calibri"/>
        <family val="2"/>
        <scheme val="minor"/>
      </rPr>
      <t>(sorted)</t>
    </r>
  </si>
  <si>
    <r>
      <t xml:space="preserve">Chosen Team </t>
    </r>
    <r>
      <rPr>
        <sz val="11"/>
        <rFont val="Calibri"/>
        <family val="2"/>
        <scheme val="minor"/>
      </rPr>
      <t>(excluding CL)</t>
    </r>
  </si>
  <si>
    <t>Chosen Cylon Leader</t>
  </si>
  <si>
    <t>cannot choose Cylon Leader - not in play</t>
  </si>
  <si>
    <t>Yes (CFB)</t>
  </si>
  <si>
    <t>Ваня</t>
  </si>
  <si>
    <t>Таня</t>
  </si>
  <si>
    <t>Женя</t>
  </si>
  <si>
    <t>Настя</t>
  </si>
  <si>
    <t>Игорь</t>
  </si>
  <si>
    <t>Алёна</t>
  </si>
  <si>
    <t>Вова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</si>
</sst>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2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9"/>
      <name val="Euphemia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800000"/>
      <name val="Calibri"/>
      <family val="2"/>
      <scheme val="minor"/>
    </font>
    <font>
      <b/>
      <sz val="10"/>
      <color theme="0"/>
      <name val="Euphemia"/>
      <family val="2"/>
    </font>
    <font>
      <sz val="10"/>
      <color theme="0"/>
      <name val="Euphemia"/>
      <family val="2"/>
    </font>
    <font>
      <sz val="10"/>
      <color theme="1"/>
      <name val="Euphemia"/>
      <family val="2"/>
    </font>
    <font>
      <sz val="10"/>
      <name val="Euphemia"/>
      <family val="2"/>
    </font>
    <font>
      <b/>
      <i/>
      <sz val="10"/>
      <color rgb="FFFF0000"/>
      <name val="Euphemia"/>
      <family val="2"/>
    </font>
    <font>
      <b/>
      <sz val="12"/>
      <color theme="1"/>
      <name val="Euphemia"/>
      <family val="2"/>
    </font>
    <font>
      <sz val="10"/>
      <color rgb="FF800000"/>
      <name val="Euphemia"/>
      <family val="2"/>
    </font>
    <font>
      <sz val="11"/>
      <color theme="0" tint="-0.34998626667073579"/>
      <name val="Calibri"/>
      <family val="2"/>
      <scheme val="minor"/>
    </font>
    <font>
      <sz val="9"/>
      <color theme="0" tint="-0.34998626667073579"/>
      <name val="Calibri"/>
      <family val="2"/>
      <scheme val="minor"/>
    </font>
    <font>
      <sz val="14"/>
      <name val="Calibri"/>
      <family val="2"/>
      <scheme val="minor"/>
    </font>
    <font>
      <b/>
      <sz val="12"/>
      <color rgb="FF800000"/>
      <name val="Euphemia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220505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/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2" borderId="0" xfId="0" applyFill="1"/>
    <xf numFmtId="0" fontId="4" fillId="0" borderId="0" xfId="0" applyFont="1" applyBorder="1"/>
    <xf numFmtId="0" fontId="4" fillId="0" borderId="0" xfId="0" applyFont="1"/>
    <xf numFmtId="0" fontId="0" fillId="0" borderId="14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2" borderId="0" xfId="0" applyFill="1" applyBorder="1"/>
    <xf numFmtId="0" fontId="4" fillId="2" borderId="0" xfId="0" applyFont="1" applyFill="1"/>
    <xf numFmtId="0" fontId="0" fillId="0" borderId="15" xfId="0" applyFill="1" applyBorder="1" applyAlignment="1">
      <alignment horizontal="center"/>
    </xf>
    <xf numFmtId="0" fontId="0" fillId="0" borderId="15" xfId="0" applyBorder="1"/>
    <xf numFmtId="0" fontId="4" fillId="0" borderId="15" xfId="0" applyFont="1" applyBorder="1"/>
    <xf numFmtId="0" fontId="4" fillId="0" borderId="10" xfId="0" applyFont="1" applyBorder="1"/>
    <xf numFmtId="0" fontId="0" fillId="4" borderId="6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2" xfId="0" applyFill="1" applyBorder="1" applyAlignment="1">
      <alignment horizontal="centerContinuous"/>
    </xf>
    <xf numFmtId="0" fontId="0" fillId="4" borderId="7" xfId="0" applyFill="1" applyBorder="1" applyAlignment="1">
      <alignment horizontal="centerContinuous"/>
    </xf>
    <xf numFmtId="0" fontId="11" fillId="3" borderId="22" xfId="0" applyFont="1" applyFill="1" applyBorder="1" applyAlignment="1">
      <alignment horizontal="center" vertical="center"/>
    </xf>
    <xf numFmtId="0" fontId="0" fillId="0" borderId="10" xfId="0" applyBorder="1"/>
    <xf numFmtId="0" fontId="0" fillId="0" borderId="0" xfId="0" applyFill="1" applyBorder="1"/>
    <xf numFmtId="0" fontId="0" fillId="0" borderId="14" xfId="0" applyBorder="1"/>
    <xf numFmtId="0" fontId="0" fillId="0" borderId="8" xfId="0" applyBorder="1" applyAlignment="1">
      <alignment horizontal="center"/>
    </xf>
    <xf numFmtId="0" fontId="0" fillId="0" borderId="0" xfId="0" quotePrefix="1"/>
    <xf numFmtId="0" fontId="0" fillId="0" borderId="17" xfId="0" applyFill="1" applyBorder="1" applyAlignment="1">
      <alignment horizontal="center"/>
    </xf>
    <xf numFmtId="0" fontId="0" fillId="0" borderId="0" xfId="0" applyFont="1"/>
    <xf numFmtId="0" fontId="4" fillId="0" borderId="1" xfId="0" applyFont="1" applyBorder="1"/>
    <xf numFmtId="0" fontId="0" fillId="4" borderId="12" xfId="0" applyNumberFormat="1" applyFill="1" applyBorder="1" applyAlignment="1">
      <alignment horizontal="centerContinuous"/>
    </xf>
    <xf numFmtId="0" fontId="0" fillId="0" borderId="1" xfId="0" applyBorder="1" applyAlignment="1">
      <alignment horizontal="left"/>
    </xf>
    <xf numFmtId="0" fontId="0" fillId="0" borderId="15" xfId="0" applyFill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3" fillId="0" borderId="13" xfId="0" applyFont="1" applyBorder="1"/>
    <xf numFmtId="0" fontId="0" fillId="0" borderId="2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3" fillId="0" borderId="25" xfId="0" applyFont="1" applyBorder="1"/>
    <xf numFmtId="0" fontId="0" fillId="0" borderId="25" xfId="0" applyBorder="1"/>
    <xf numFmtId="0" fontId="4" fillId="0" borderId="25" xfId="0" applyFont="1" applyBorder="1"/>
    <xf numFmtId="0" fontId="4" fillId="0" borderId="18" xfId="0" applyFont="1" applyBorder="1"/>
    <xf numFmtId="0" fontId="0" fillId="0" borderId="8" xfId="0" applyBorder="1"/>
    <xf numFmtId="0" fontId="0" fillId="0" borderId="18" xfId="0" applyBorder="1"/>
    <xf numFmtId="164" fontId="0" fillId="0" borderId="8" xfId="0" applyNumberFormat="1" applyBorder="1" applyAlignment="1">
      <alignment horizontal="center"/>
    </xf>
    <xf numFmtId="0" fontId="4" fillId="0" borderId="0" xfId="0" applyFon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1" fillId="3" borderId="26" xfId="0" applyFont="1" applyFill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/>
    </xf>
    <xf numFmtId="0" fontId="12" fillId="2" borderId="21" xfId="0" applyFont="1" applyFill="1" applyBorder="1" applyAlignment="1">
      <alignment horizontal="center"/>
    </xf>
    <xf numFmtId="0" fontId="12" fillId="2" borderId="2" xfId="0" applyFont="1" applyFill="1" applyBorder="1"/>
    <xf numFmtId="0" fontId="14" fillId="2" borderId="3" xfId="0" applyFont="1" applyFill="1" applyBorder="1"/>
    <xf numFmtId="0" fontId="13" fillId="2" borderId="4" xfId="0" applyFont="1" applyFill="1" applyBorder="1"/>
    <xf numFmtId="0" fontId="15" fillId="3" borderId="5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Continuous"/>
    </xf>
    <xf numFmtId="0" fontId="13" fillId="2" borderId="6" xfId="0" applyFont="1" applyFill="1" applyBorder="1"/>
    <xf numFmtId="0" fontId="15" fillId="3" borderId="7" xfId="0" applyFont="1" applyFill="1" applyBorder="1" applyAlignment="1">
      <alignment horizontal="center"/>
    </xf>
    <xf numFmtId="0" fontId="13" fillId="2" borderId="6" xfId="0" applyFont="1" applyFill="1" applyBorder="1" applyAlignment="1">
      <alignment horizontal="left"/>
    </xf>
    <xf numFmtId="0" fontId="16" fillId="3" borderId="21" xfId="0" applyFont="1" applyFill="1" applyBorder="1" applyAlignment="1">
      <alignment horizontal="center" vertical="center"/>
    </xf>
    <xf numFmtId="0" fontId="16" fillId="3" borderId="22" xfId="0" applyFont="1" applyFill="1" applyBorder="1" applyAlignment="1">
      <alignment horizontal="center" vertical="center"/>
    </xf>
    <xf numFmtId="0" fontId="16" fillId="3" borderId="22" xfId="0" applyFont="1" applyFill="1" applyBorder="1" applyAlignment="1">
      <alignment horizontal="centerContinuous" vertical="center"/>
    </xf>
    <xf numFmtId="0" fontId="16" fillId="3" borderId="23" xfId="0" applyFont="1" applyFill="1" applyBorder="1" applyAlignment="1">
      <alignment horizontal="centerContinuous" vertical="center"/>
    </xf>
    <xf numFmtId="0" fontId="14" fillId="4" borderId="4" xfId="0" applyFont="1" applyFill="1" applyBorder="1" applyAlignment="1">
      <alignment horizontal="center"/>
    </xf>
    <xf numFmtId="0" fontId="14" fillId="4" borderId="0" xfId="0" applyFont="1" applyFill="1" applyBorder="1" applyAlignment="1">
      <alignment horizontal="center"/>
    </xf>
    <xf numFmtId="0" fontId="14" fillId="4" borderId="0" xfId="0" applyFont="1" applyFill="1" applyBorder="1" applyAlignment="1">
      <alignment horizontal="centerContinuous"/>
    </xf>
    <xf numFmtId="0" fontId="14" fillId="4" borderId="0" xfId="0" applyNumberFormat="1" applyFont="1" applyFill="1" applyBorder="1" applyAlignment="1">
      <alignment horizontal="centerContinuous"/>
    </xf>
    <xf numFmtId="0" fontId="14" fillId="4" borderId="5" xfId="0" applyFont="1" applyFill="1" applyBorder="1" applyAlignment="1">
      <alignment horizontal="centerContinuous"/>
    </xf>
    <xf numFmtId="0" fontId="15" fillId="3" borderId="23" xfId="0" applyFont="1" applyFill="1" applyBorder="1" applyAlignment="1">
      <alignment horizontal="center"/>
    </xf>
    <xf numFmtId="0" fontId="18" fillId="3" borderId="19" xfId="0" applyFont="1" applyFill="1" applyBorder="1" applyAlignment="1">
      <alignment horizontal="center" vertical="center"/>
    </xf>
    <xf numFmtId="0" fontId="18" fillId="3" borderId="24" xfId="0" applyFont="1" applyFill="1" applyBorder="1" applyAlignment="1">
      <alignment horizontal="center" vertical="center"/>
    </xf>
    <xf numFmtId="0" fontId="18" fillId="3" borderId="20" xfId="0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 vertical="center"/>
    </xf>
    <xf numFmtId="0" fontId="0" fillId="7" borderId="32" xfId="0" applyFill="1" applyBorder="1"/>
    <xf numFmtId="0" fontId="0" fillId="7" borderId="0" xfId="0" applyFill="1" applyBorder="1"/>
    <xf numFmtId="0" fontId="0" fillId="7" borderId="28" xfId="0" applyFill="1" applyBorder="1"/>
    <xf numFmtId="0" fontId="0" fillId="7" borderId="29" xfId="0" applyFill="1" applyBorder="1"/>
    <xf numFmtId="0" fontId="10" fillId="7" borderId="29" xfId="0" applyFont="1" applyFill="1" applyBorder="1" applyAlignment="1">
      <alignment horizontal="right"/>
    </xf>
    <xf numFmtId="0" fontId="0" fillId="7" borderId="30" xfId="0" applyFill="1" applyBorder="1"/>
    <xf numFmtId="0" fontId="0" fillId="7" borderId="31" xfId="0" applyFill="1" applyBorder="1"/>
    <xf numFmtId="0" fontId="10" fillId="7" borderId="0" xfId="0" applyFont="1" applyFill="1" applyBorder="1" applyAlignment="1">
      <alignment horizontal="right"/>
    </xf>
    <xf numFmtId="0" fontId="5" fillId="7" borderId="0" xfId="0" applyFont="1" applyFill="1" applyBorder="1"/>
    <xf numFmtId="0" fontId="6" fillId="7" borderId="0" xfId="0" applyFont="1" applyFill="1" applyBorder="1" applyAlignment="1">
      <alignment horizontal="center" vertical="center"/>
    </xf>
    <xf numFmtId="0" fontId="0" fillId="7" borderId="33" xfId="0" applyFill="1" applyBorder="1"/>
    <xf numFmtId="0" fontId="0" fillId="7" borderId="34" xfId="0" applyFill="1" applyBorder="1"/>
    <xf numFmtId="0" fontId="0" fillId="7" borderId="35" xfId="0" applyFill="1" applyBorder="1"/>
    <xf numFmtId="0" fontId="15" fillId="7" borderId="0" xfId="0" applyFont="1" applyFill="1" applyBorder="1" applyAlignment="1">
      <alignment horizontal="center" vertical="center"/>
    </xf>
    <xf numFmtId="0" fontId="14" fillId="7" borderId="0" xfId="0" applyFont="1" applyFill="1" applyBorder="1"/>
    <xf numFmtId="0" fontId="14" fillId="2" borderId="11" xfId="0" applyFont="1" applyFill="1" applyBorder="1" applyAlignment="1">
      <alignment horizontal="centerContinuous"/>
    </xf>
    <xf numFmtId="0" fontId="12" fillId="2" borderId="22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13" fillId="2" borderId="4" xfId="0" applyFont="1" applyFill="1" applyBorder="1" applyAlignment="1">
      <alignment horizontal="left"/>
    </xf>
    <xf numFmtId="0" fontId="8" fillId="6" borderId="16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5" borderId="19" xfId="0" applyFont="1" applyFill="1" applyBorder="1" applyAlignment="1">
      <alignment horizontal="center" vertical="center"/>
    </xf>
    <xf numFmtId="0" fontId="8" fillId="6" borderId="36" xfId="0" applyFont="1" applyFill="1" applyBorder="1" applyAlignment="1">
      <alignment horizontal="center" vertical="center"/>
    </xf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3" fillId="5" borderId="0" xfId="0" applyFont="1" applyFill="1" applyBorder="1"/>
    <xf numFmtId="0" fontId="0" fillId="5" borderId="0" xfId="0" applyFill="1" applyBorder="1"/>
    <xf numFmtId="0" fontId="0" fillId="5" borderId="5" xfId="0" applyFill="1" applyBorder="1"/>
    <xf numFmtId="0" fontId="0" fillId="5" borderId="0" xfId="0" applyFill="1" applyBorder="1" applyAlignment="1">
      <alignment horizontal="center"/>
    </xf>
    <xf numFmtId="0" fontId="0" fillId="5" borderId="6" xfId="0" applyFill="1" applyBorder="1"/>
    <xf numFmtId="0" fontId="0" fillId="5" borderId="12" xfId="0" applyFill="1" applyBorder="1" applyAlignment="1">
      <alignment horizontal="center"/>
    </xf>
    <xf numFmtId="0" fontId="0" fillId="5" borderId="7" xfId="0" applyFill="1" applyBorder="1"/>
    <xf numFmtId="0" fontId="11" fillId="8" borderId="21" xfId="0" applyFont="1" applyFill="1" applyBorder="1" applyAlignment="1">
      <alignment horizontal="center" vertical="center"/>
    </xf>
    <xf numFmtId="0" fontId="11" fillId="8" borderId="22" xfId="0" applyFont="1" applyFill="1" applyBorder="1" applyAlignment="1">
      <alignment horizontal="center" vertical="center"/>
    </xf>
    <xf numFmtId="0" fontId="11" fillId="8" borderId="2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4" fillId="0" borderId="0" xfId="0" applyFont="1" applyAlignment="1">
      <alignment horizontal="left"/>
    </xf>
    <xf numFmtId="0" fontId="0" fillId="0" borderId="25" xfId="0" applyBorder="1" applyAlignment="1">
      <alignment horizontal="center" vertical="center"/>
    </xf>
    <xf numFmtId="0" fontId="0" fillId="5" borderId="11" xfId="0" applyFill="1" applyBorder="1" applyAlignment="1">
      <alignment horizontal="center"/>
    </xf>
    <xf numFmtId="0" fontId="4" fillId="5" borderId="11" xfId="0" applyFont="1" applyFill="1" applyBorder="1" applyAlignment="1">
      <alignment horizontal="center"/>
    </xf>
    <xf numFmtId="0" fontId="20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0" fillId="0" borderId="1" xfId="0" quotePrefix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0" fillId="0" borderId="37" xfId="0" applyBorder="1" applyAlignment="1">
      <alignment horizontal="left"/>
    </xf>
    <xf numFmtId="0" fontId="2" fillId="0" borderId="37" xfId="0" applyFont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quotePrefix="1" applyBorder="1" applyAlignment="1">
      <alignment horizontal="left"/>
    </xf>
    <xf numFmtId="0" fontId="4" fillId="0" borderId="6" xfId="0" applyFont="1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12" xfId="0" quotePrefix="1" applyBorder="1" applyAlignment="1">
      <alignment horizontal="left"/>
    </xf>
    <xf numFmtId="0" fontId="4" fillId="0" borderId="3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/>
    <xf numFmtId="0" fontId="0" fillId="0" borderId="11" xfId="0" applyBorder="1"/>
    <xf numFmtId="0" fontId="4" fillId="0" borderId="11" xfId="0" applyFont="1" applyBorder="1"/>
    <xf numFmtId="0" fontId="4" fillId="0" borderId="3" xfId="0" applyFont="1" applyBorder="1"/>
    <xf numFmtId="0" fontId="0" fillId="0" borderId="4" xfId="0" applyBorder="1" applyAlignment="1">
      <alignment horizontal="center"/>
    </xf>
    <xf numFmtId="0" fontId="0" fillId="0" borderId="0" xfId="0" applyFont="1" applyBorder="1"/>
    <xf numFmtId="0" fontId="4" fillId="0" borderId="5" xfId="0" applyFont="1" applyBorder="1"/>
    <xf numFmtId="0" fontId="0" fillId="0" borderId="6" xfId="0" applyBorder="1" applyAlignment="1">
      <alignment horizontal="center"/>
    </xf>
    <xf numFmtId="0" fontId="0" fillId="0" borderId="12" xfId="0" applyFont="1" applyBorder="1"/>
    <xf numFmtId="0" fontId="0" fillId="0" borderId="12" xfId="0" applyBorder="1"/>
    <xf numFmtId="0" fontId="4" fillId="0" borderId="12" xfId="0" applyFont="1" applyBorder="1"/>
    <xf numFmtId="0" fontId="4" fillId="0" borderId="7" xfId="0" applyFont="1" applyBorder="1"/>
    <xf numFmtId="0" fontId="2" fillId="0" borderId="2" xfId="0" applyFont="1" applyBorder="1"/>
    <xf numFmtId="0" fontId="21" fillId="0" borderId="13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3" fillId="0" borderId="11" xfId="0" applyFont="1" applyBorder="1"/>
    <xf numFmtId="0" fontId="0" fillId="0" borderId="7" xfId="0" applyBorder="1"/>
    <xf numFmtId="0" fontId="1" fillId="0" borderId="0" xfId="0" applyFont="1" applyBorder="1"/>
    <xf numFmtId="0" fontId="0" fillId="0" borderId="3" xfId="0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15" fillId="3" borderId="4" xfId="0" applyFont="1" applyFill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0" fontId="17" fillId="3" borderId="6" xfId="0" applyFont="1" applyFill="1" applyBorder="1" applyAlignment="1">
      <alignment horizontal="center" vertical="center"/>
    </xf>
    <xf numFmtId="0" fontId="17" fillId="3" borderId="12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18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5" xfId="0" applyFill="1" applyBorder="1" applyAlignment="1">
      <alignment horizontal="center"/>
    </xf>
  </cellXfs>
  <cellStyles count="1">
    <cellStyle name="Обычный" xfId="0" builtinId="0"/>
  </cellStyles>
  <dxfs count="16">
    <dxf>
      <font>
        <b val="0"/>
        <i/>
        <color theme="0"/>
      </font>
      <fill>
        <patternFill>
          <bgColor rgb="FF6F837D"/>
        </patternFill>
      </fill>
    </dxf>
    <dxf>
      <font>
        <b val="0"/>
        <i/>
        <color theme="0"/>
      </font>
      <fill>
        <patternFill>
          <bgColor rgb="FF6F837D"/>
        </patternFill>
      </fill>
    </dxf>
    <dxf>
      <font>
        <b val="0"/>
        <i/>
        <color theme="0"/>
      </font>
      <fill>
        <patternFill>
          <bgColor rgb="FF6F837D"/>
        </patternFill>
      </fill>
    </dxf>
    <dxf>
      <font>
        <b val="0"/>
        <i/>
        <color theme="0"/>
      </font>
      <fill>
        <patternFill>
          <bgColor rgb="FF6F837D"/>
        </patternFill>
      </fill>
    </dxf>
    <dxf>
      <font>
        <b val="0"/>
        <i/>
        <color theme="0"/>
      </font>
      <fill>
        <patternFill>
          <bgColor rgb="FF220505"/>
        </patternFill>
      </fill>
    </dxf>
    <dxf>
      <font>
        <b val="0"/>
        <i/>
        <color theme="0" tint="-0.14996795556505021"/>
      </font>
      <fill>
        <patternFill>
          <bgColor rgb="FF220505"/>
        </patternFill>
      </fill>
    </dxf>
    <dxf>
      <fill>
        <patternFill>
          <bgColor rgb="FF220505"/>
        </patternFill>
      </fill>
    </dxf>
    <dxf>
      <font>
        <b val="0"/>
        <i/>
        <color theme="0"/>
      </font>
      <fill>
        <patternFill>
          <bgColor rgb="FF6F837D"/>
        </patternFill>
      </fill>
    </dxf>
    <dxf>
      <font>
        <b/>
        <i/>
      </font>
    </dxf>
    <dxf>
      <fill>
        <patternFill>
          <bgColor theme="8" tint="0.59996337778862885"/>
        </patternFill>
      </fill>
    </dxf>
    <dxf>
      <fill>
        <patternFill>
          <bgColor rgb="FFFF5757"/>
        </patternFill>
      </fill>
    </dxf>
    <dxf>
      <fill>
        <patternFill>
          <bgColor rgb="FF92D050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b val="0"/>
        <i/>
        <color theme="0" tint="-0.14996795556505021"/>
      </font>
      <fill>
        <patternFill>
          <bgColor rgb="FF220505"/>
        </patternFill>
      </fill>
    </dxf>
    <dxf>
      <font>
        <b val="0"/>
        <i/>
        <color theme="0" tint="-0.14996795556505021"/>
      </font>
      <fill>
        <patternFill>
          <bgColor rgb="FF220505"/>
        </patternFill>
      </fill>
    </dxf>
  </dxfs>
  <tableStyles count="0" defaultTableStyle="TableStyleMedium2" defaultPivotStyle="PivotStyleLight16"/>
  <colors>
    <mruColors>
      <color rgb="FFFFFF99"/>
      <color rgb="FF800000"/>
      <color rgb="FF220505"/>
      <color rgb="FF200508"/>
      <color rgb="FF27070A"/>
      <color rgb="FF27070D"/>
      <color rgb="FF2D080F"/>
      <color rgb="FF2A080F"/>
      <color rgb="FF300808"/>
      <color rgb="FF2A080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114300</xdr:colOff>
          <xdr:row>18</xdr:row>
          <xdr:rowOff>161925</xdr:rowOff>
        </xdr:from>
        <xdr:to>
          <xdr:col>7</xdr:col>
          <xdr:colOff>733425</xdr:colOff>
          <xdr:row>20</xdr:row>
          <xdr:rowOff>38100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800000"/>
                  </a:solidFill>
                  <a:latin typeface="Euphemia"/>
                </a:rPr>
                <a:t>Find a Crew!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0</xdr:colOff>
      <xdr:row>0</xdr:row>
      <xdr:rowOff>41414</xdr:rowOff>
    </xdr:from>
    <xdr:to>
      <xdr:col>8</xdr:col>
      <xdr:colOff>29307</xdr:colOff>
      <xdr:row>9</xdr:row>
      <xdr:rowOff>107675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78" t="19627" r="974" b="19810"/>
        <a:stretch/>
      </xdr:blipFill>
      <xdr:spPr>
        <a:xfrm>
          <a:off x="0" y="41414"/>
          <a:ext cx="6729937" cy="1739348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102577</xdr:colOff>
      <xdr:row>0</xdr:row>
      <xdr:rowOff>132521</xdr:rowOff>
    </xdr:from>
    <xdr:to>
      <xdr:col>8</xdr:col>
      <xdr:colOff>51289</xdr:colOff>
      <xdr:row>9</xdr:row>
      <xdr:rowOff>9557</xdr:rowOff>
    </xdr:to>
    <xdr:sp macro="" textlink="">
      <xdr:nvSpPr>
        <xdr:cNvPr id="3" name="TextBox 2"/>
        <xdr:cNvSpPr txBox="1"/>
      </xdr:nvSpPr>
      <xdr:spPr>
        <a:xfrm>
          <a:off x="102577" y="132521"/>
          <a:ext cx="6541669" cy="15501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36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Euphemia" panose="020B0503040102020104" pitchFamily="34" charset="0"/>
            </a:rPr>
            <a:t>B</a:t>
          </a:r>
          <a:r>
            <a:rPr lang="en-GB" sz="3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Euphemia" panose="020B0503040102020104" pitchFamily="34" charset="0"/>
            </a:rPr>
            <a:t>attlestar</a:t>
          </a:r>
          <a:r>
            <a:rPr lang="en-GB" sz="34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Euphemia" panose="020B0503040102020104" pitchFamily="34" charset="0"/>
            </a:rPr>
            <a:t> </a:t>
          </a:r>
          <a:r>
            <a:rPr lang="en-GB" sz="36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Euphemia" panose="020B0503040102020104" pitchFamily="34" charset="0"/>
            </a:rPr>
            <a:t>G</a:t>
          </a:r>
          <a:r>
            <a:rPr lang="en-GB" sz="34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Euphemia" panose="020B0503040102020104" pitchFamily="34" charset="0"/>
            </a:rPr>
            <a:t>alactica</a:t>
          </a:r>
          <a:endParaRPr lang="en-GB" sz="3400" b="1" cap="none" spc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  <a:latin typeface="Euphemia" panose="020B0503040102020104" pitchFamily="34" charset="0"/>
          </a:endParaRPr>
        </a:p>
        <a:p>
          <a:pPr algn="ctr"/>
          <a:r>
            <a:rPr lang="en-GB" sz="3600" b="1" i="0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Euphemia" panose="020B0503040102020104" pitchFamily="34" charset="0"/>
            </a:rPr>
            <a:t>R</a:t>
          </a:r>
          <a:r>
            <a:rPr lang="en-GB" sz="3400" b="1" i="0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Euphemia" panose="020B0503040102020104" pitchFamily="34" charset="0"/>
            </a:rPr>
            <a:t>andom </a:t>
          </a:r>
          <a:r>
            <a:rPr lang="en-GB" sz="3600" b="1" i="0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Euphemia" panose="020B0503040102020104" pitchFamily="34" charset="0"/>
            </a:rPr>
            <a:t>Character Generator</a:t>
          </a:r>
          <a:endParaRPr lang="en-GB" sz="3400" b="1" i="0" cap="none" spc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  <a:latin typeface="Euphemia" panose="020B05030401020201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34"/>
  <sheetViews>
    <sheetView showGridLines="0" showRowColHeaders="0" tabSelected="1" zoomScale="115" zoomScaleNormal="115" workbookViewId="0">
      <selection activeCell="E14" sqref="E14"/>
    </sheetView>
  </sheetViews>
  <sheetFormatPr defaultColWidth="0" defaultRowHeight="15" zeroHeight="1"/>
  <cols>
    <col min="1" max="1" width="2" customWidth="1"/>
    <col min="2" max="2" width="14.42578125" customWidth="1"/>
    <col min="3" max="3" width="13.85546875" customWidth="1"/>
    <col min="4" max="5" width="21.28515625" customWidth="1"/>
    <col min="6" max="6" width="2.42578125" customWidth="1"/>
    <col min="7" max="7" width="12.28515625" customWidth="1"/>
    <col min="8" max="8" width="12.85546875" customWidth="1"/>
    <col min="9" max="9" width="2" customWidth="1"/>
    <col min="10" max="16384" width="9.140625" hidden="1"/>
  </cols>
  <sheetData>
    <row r="1" spans="1:9" ht="12" customHeight="1" thickTop="1">
      <c r="A1" s="88"/>
      <c r="B1" s="89"/>
      <c r="C1" s="89"/>
      <c r="D1" s="89"/>
      <c r="E1" s="89"/>
      <c r="F1" s="89"/>
      <c r="G1" s="90"/>
      <c r="H1" s="90" t="s">
        <v>113</v>
      </c>
      <c r="I1" s="91"/>
    </row>
    <row r="2" spans="1:9" ht="12" customHeight="1">
      <c r="A2" s="92"/>
      <c r="B2" s="87"/>
      <c r="C2" s="87"/>
      <c r="D2" s="87"/>
      <c r="E2" s="87"/>
      <c r="F2" s="87"/>
      <c r="G2" s="93"/>
      <c r="H2" s="93"/>
      <c r="I2" s="86"/>
    </row>
    <row r="3" spans="1:9" ht="12" customHeight="1">
      <c r="A3" s="92"/>
      <c r="B3" s="87"/>
      <c r="C3" s="87"/>
      <c r="D3" s="87"/>
      <c r="E3" s="87"/>
      <c r="F3" s="87"/>
      <c r="G3" s="93"/>
      <c r="H3" s="93"/>
      <c r="I3" s="86"/>
    </row>
    <row r="4" spans="1:9" ht="12" customHeight="1">
      <c r="A4" s="92"/>
      <c r="B4" s="87"/>
      <c r="C4" s="87"/>
      <c r="D4" s="87"/>
      <c r="E4" s="87"/>
      <c r="F4" s="87"/>
      <c r="G4" s="93"/>
      <c r="H4" s="93"/>
      <c r="I4" s="86"/>
    </row>
    <row r="5" spans="1:9" ht="12" customHeight="1">
      <c r="A5" s="92"/>
      <c r="B5" s="87"/>
      <c r="C5" s="87"/>
      <c r="D5" s="87"/>
      <c r="E5" s="87"/>
      <c r="F5" s="87"/>
      <c r="G5" s="93"/>
      <c r="H5" s="93"/>
      <c r="I5" s="86"/>
    </row>
    <row r="6" spans="1:9" ht="12" customHeight="1">
      <c r="A6" s="92"/>
      <c r="B6" s="87"/>
      <c r="C6" s="87"/>
      <c r="D6" s="87"/>
      <c r="E6" s="87"/>
      <c r="F6" s="87"/>
      <c r="G6" s="93"/>
      <c r="H6" s="93"/>
      <c r="I6" s="86"/>
    </row>
    <row r="7" spans="1:9" ht="12" customHeight="1">
      <c r="A7" s="92"/>
      <c r="B7" s="87"/>
      <c r="C7" s="87"/>
      <c r="D7" s="87"/>
      <c r="E7" s="87"/>
      <c r="F7" s="87"/>
      <c r="G7" s="93"/>
      <c r="H7" s="93"/>
      <c r="I7" s="86"/>
    </row>
    <row r="8" spans="1:9" ht="24.75" customHeight="1">
      <c r="A8" s="92"/>
      <c r="B8" s="87"/>
      <c r="C8" s="87"/>
      <c r="D8" s="87"/>
      <c r="E8" s="87"/>
      <c r="F8" s="87"/>
      <c r="G8" s="87"/>
      <c r="H8" s="87"/>
      <c r="I8" s="86"/>
    </row>
    <row r="9" spans="1:9" ht="24.75" customHeight="1">
      <c r="A9" s="92"/>
      <c r="B9" s="87"/>
      <c r="C9" s="87"/>
      <c r="D9" s="87"/>
      <c r="E9" s="87"/>
      <c r="F9" s="87"/>
      <c r="G9" s="87"/>
      <c r="H9" s="87"/>
      <c r="I9" s="86"/>
    </row>
    <row r="10" spans="1:9" ht="13.5" customHeight="1" thickBot="1">
      <c r="A10" s="92"/>
      <c r="B10" s="94"/>
      <c r="C10" s="87"/>
      <c r="D10" s="95"/>
      <c r="E10" s="95"/>
      <c r="F10" s="95"/>
      <c r="G10" s="87"/>
      <c r="H10" s="87"/>
      <c r="I10" s="86"/>
    </row>
    <row r="11" spans="1:9" ht="17.25" customHeight="1" thickBot="1">
      <c r="A11" s="92"/>
      <c r="B11" s="63" t="s">
        <v>31</v>
      </c>
      <c r="C11" s="81">
        <v>7</v>
      </c>
      <c r="D11" s="63" t="s">
        <v>100</v>
      </c>
      <c r="E11" s="81" t="s">
        <v>33</v>
      </c>
      <c r="F11" s="100"/>
      <c r="G11" s="64" t="s">
        <v>32</v>
      </c>
      <c r="H11" s="65"/>
      <c r="I11" s="86"/>
    </row>
    <row r="12" spans="1:9" ht="15" customHeight="1" thickBot="1">
      <c r="A12" s="92"/>
      <c r="B12" s="99"/>
      <c r="C12" s="99"/>
      <c r="D12" s="99"/>
      <c r="E12" s="100"/>
      <c r="F12" s="100"/>
      <c r="G12" s="66" t="s">
        <v>16</v>
      </c>
      <c r="H12" s="67" t="s">
        <v>33</v>
      </c>
      <c r="I12" s="86"/>
    </row>
    <row r="13" spans="1:9" ht="18" customHeight="1" thickBot="1">
      <c r="A13" s="92"/>
      <c r="B13" s="68" t="s">
        <v>67</v>
      </c>
      <c r="C13" s="101"/>
      <c r="D13" s="102" t="s">
        <v>76</v>
      </c>
      <c r="E13" s="103" t="s">
        <v>77</v>
      </c>
      <c r="F13" s="100"/>
      <c r="G13" s="66" t="s">
        <v>17</v>
      </c>
      <c r="H13" s="67" t="s">
        <v>135</v>
      </c>
      <c r="I13" s="86"/>
    </row>
    <row r="14" spans="1:9" ht="18" customHeight="1" thickBot="1">
      <c r="A14" s="92"/>
      <c r="B14" s="182" t="s">
        <v>136</v>
      </c>
      <c r="C14" s="183"/>
      <c r="D14" s="82"/>
      <c r="E14" s="85"/>
      <c r="F14" s="100"/>
      <c r="G14" s="69" t="s">
        <v>18</v>
      </c>
      <c r="H14" s="70" t="s">
        <v>33</v>
      </c>
      <c r="I14" s="86"/>
    </row>
    <row r="15" spans="1:9" ht="18" customHeight="1" thickBot="1">
      <c r="A15" s="92"/>
      <c r="B15" s="168" t="s">
        <v>137</v>
      </c>
      <c r="C15" s="169"/>
      <c r="D15" s="83"/>
      <c r="E15" s="85"/>
      <c r="F15" s="99"/>
      <c r="G15" s="100"/>
      <c r="H15" s="100"/>
      <c r="I15" s="86"/>
    </row>
    <row r="16" spans="1:9" ht="18" customHeight="1">
      <c r="A16" s="92"/>
      <c r="B16" s="168" t="s">
        <v>138</v>
      </c>
      <c r="C16" s="169"/>
      <c r="D16" s="83"/>
      <c r="E16" s="85"/>
      <c r="F16" s="100"/>
      <c r="G16" s="64" t="s">
        <v>73</v>
      </c>
      <c r="H16" s="65"/>
      <c r="I16" s="86"/>
    </row>
    <row r="17" spans="1:9" ht="18" customHeight="1">
      <c r="A17" s="92"/>
      <c r="B17" s="168" t="s">
        <v>139</v>
      </c>
      <c r="C17" s="169"/>
      <c r="D17" s="83"/>
      <c r="E17" s="85"/>
      <c r="F17" s="100"/>
      <c r="G17" s="104" t="s">
        <v>74</v>
      </c>
      <c r="H17" s="67">
        <v>1</v>
      </c>
      <c r="I17" s="86"/>
    </row>
    <row r="18" spans="1:9" ht="18" customHeight="1" thickBot="1">
      <c r="A18" s="92"/>
      <c r="B18" s="168" t="s">
        <v>140</v>
      </c>
      <c r="C18" s="169"/>
      <c r="D18" s="83"/>
      <c r="E18" s="85"/>
      <c r="F18" s="100"/>
      <c r="G18" s="71" t="s">
        <v>75</v>
      </c>
      <c r="H18" s="70">
        <v>2</v>
      </c>
      <c r="I18" s="86"/>
    </row>
    <row r="19" spans="1:9" ht="18" customHeight="1">
      <c r="A19" s="92"/>
      <c r="B19" s="168" t="s">
        <v>141</v>
      </c>
      <c r="C19" s="169"/>
      <c r="D19" s="83"/>
      <c r="E19" s="85"/>
      <c r="F19" s="99"/>
      <c r="G19" s="100"/>
      <c r="H19" s="100"/>
      <c r="I19" s="86"/>
    </row>
    <row r="20" spans="1:9" ht="18" customHeight="1" thickBot="1">
      <c r="A20" s="92"/>
      <c r="B20" s="184" t="s">
        <v>142</v>
      </c>
      <c r="C20" s="185"/>
      <c r="D20" s="84"/>
      <c r="E20" s="85"/>
      <c r="F20" s="100"/>
      <c r="G20" s="100"/>
      <c r="H20" s="100"/>
      <c r="I20" s="86"/>
    </row>
    <row r="21" spans="1:9" ht="15.75" thickBot="1">
      <c r="A21" s="92"/>
      <c r="B21" s="99"/>
      <c r="C21" s="100"/>
      <c r="D21" s="100"/>
      <c r="E21" s="100"/>
      <c r="F21" s="100"/>
      <c r="G21" s="100"/>
      <c r="H21" s="100"/>
      <c r="I21" s="86"/>
    </row>
    <row r="22" spans="1:9" ht="15" customHeight="1">
      <c r="A22" s="92"/>
      <c r="B22" s="176" t="s">
        <v>45</v>
      </c>
      <c r="C22" s="177"/>
      <c r="D22" s="177"/>
      <c r="E22" s="178"/>
      <c r="F22" s="170" t="str">
        <f ca="1">Validity</f>
        <v>OK</v>
      </c>
      <c r="G22" s="171"/>
      <c r="H22" s="172"/>
      <c r="I22" s="86"/>
    </row>
    <row r="23" spans="1:9" ht="15.75" thickBot="1">
      <c r="A23" s="92"/>
      <c r="B23" s="179"/>
      <c r="C23" s="180"/>
      <c r="D23" s="180"/>
      <c r="E23" s="181"/>
      <c r="F23" s="173"/>
      <c r="G23" s="174"/>
      <c r="H23" s="175"/>
      <c r="I23" s="86"/>
    </row>
    <row r="24" spans="1:9" ht="15.75" thickBot="1">
      <c r="A24" s="92"/>
      <c r="B24" s="72" t="s">
        <v>46</v>
      </c>
      <c r="C24" s="73" t="s">
        <v>69</v>
      </c>
      <c r="D24" s="73" t="s">
        <v>65</v>
      </c>
      <c r="E24" s="74" t="s">
        <v>47</v>
      </c>
      <c r="F24" s="74"/>
      <c r="G24" s="74" t="s">
        <v>48</v>
      </c>
      <c r="H24" s="75"/>
      <c r="I24" s="86"/>
    </row>
    <row r="25" spans="1:9">
      <c r="A25" s="92"/>
      <c r="B25" s="76">
        <f ca="1">Calcs!AL34</f>
        <v>1</v>
      </c>
      <c r="C25" s="77" t="str">
        <f ca="1">Calcs!AM34</f>
        <v>Игорь</v>
      </c>
      <c r="D25" s="77" t="str">
        <f ca="1">Calcs!AN34</f>
        <v/>
      </c>
      <c r="E25" s="78" t="str">
        <f ca="1">Calcs!AO34</f>
        <v>Hotdog</v>
      </c>
      <c r="F25" s="78"/>
      <c r="G25" s="79" t="str">
        <f ca="1">Calcs!AQ34</f>
        <v>Pilot</v>
      </c>
      <c r="H25" s="80"/>
      <c r="I25" s="86"/>
    </row>
    <row r="26" spans="1:9">
      <c r="A26" s="92"/>
      <c r="B26" s="76">
        <f ca="1">Calcs!AL35</f>
        <v>2</v>
      </c>
      <c r="C26" s="77" t="str">
        <f ca="1">Calcs!AM35</f>
        <v>Вова</v>
      </c>
      <c r="D26" s="77" t="str">
        <f ca="1">Calcs!AN35</f>
        <v/>
      </c>
      <c r="E26" s="78" t="str">
        <f ca="1">Calcs!AO35</f>
        <v>Simon O'Neill</v>
      </c>
      <c r="F26" s="78"/>
      <c r="G26" s="79" t="str">
        <f ca="1">Calcs!AQ35</f>
        <v>Cylon Leader</v>
      </c>
      <c r="H26" s="80"/>
      <c r="I26" s="86"/>
    </row>
    <row r="27" spans="1:9">
      <c r="A27" s="92"/>
      <c r="B27" s="76">
        <f ca="1">Calcs!AL36</f>
        <v>3</v>
      </c>
      <c r="C27" s="77" t="str">
        <f ca="1">Calcs!AM36</f>
        <v>Ваня</v>
      </c>
      <c r="D27" s="77" t="str">
        <f ca="1">Calcs!AN36</f>
        <v>CAG</v>
      </c>
      <c r="E27" s="78" t="str">
        <f ca="1">Calcs!AO36</f>
        <v>Helo</v>
      </c>
      <c r="F27" s="78"/>
      <c r="G27" s="79" t="str">
        <f ca="1">Calcs!AQ36</f>
        <v>Pilot</v>
      </c>
      <c r="H27" s="80"/>
      <c r="I27" s="86"/>
    </row>
    <row r="28" spans="1:9">
      <c r="A28" s="92"/>
      <c r="B28" s="76">
        <f ca="1">Calcs!AL37</f>
        <v>4</v>
      </c>
      <c r="C28" s="77" t="str">
        <f ca="1">Calcs!AM37</f>
        <v>Настя</v>
      </c>
      <c r="D28" s="77" t="str">
        <f ca="1">Calcs!AN37</f>
        <v>President</v>
      </c>
      <c r="E28" s="78" t="str">
        <f ca="1">Calcs!AO37</f>
        <v>Ellen Tigh</v>
      </c>
      <c r="F28" s="78"/>
      <c r="G28" s="79" t="str">
        <f ca="1">Calcs!AQ37</f>
        <v>Political</v>
      </c>
      <c r="H28" s="80"/>
      <c r="I28" s="86"/>
    </row>
    <row r="29" spans="1:9">
      <c r="A29" s="92"/>
      <c r="B29" s="76">
        <f ca="1">Calcs!AL38</f>
        <v>5</v>
      </c>
      <c r="C29" s="77" t="str">
        <f ca="1">Calcs!AM38</f>
        <v>Алёна</v>
      </c>
      <c r="D29" s="77" t="str">
        <f ca="1">Calcs!AN38</f>
        <v/>
      </c>
      <c r="E29" s="78" t="str">
        <f ca="1">Calcs!AO38</f>
        <v>Callandra Tyrol</v>
      </c>
      <c r="F29" s="78"/>
      <c r="G29" s="79" t="str">
        <f ca="1">Calcs!AQ38</f>
        <v>Support</v>
      </c>
      <c r="H29" s="80"/>
      <c r="I29" s="86"/>
    </row>
    <row r="30" spans="1:9">
      <c r="A30" s="92"/>
      <c r="B30" s="76">
        <f ca="1">Calcs!AL40</f>
        <v>6</v>
      </c>
      <c r="C30" s="77" t="str">
        <f ca="1">Calcs!AM40</f>
        <v>Женя</v>
      </c>
      <c r="D30" s="77" t="str">
        <f ca="1">Calcs!AN40</f>
        <v/>
      </c>
      <c r="E30" s="78" t="str">
        <f ca="1">Calcs!AO40</f>
        <v>Tom Zarek</v>
      </c>
      <c r="F30" s="78"/>
      <c r="G30" s="79" t="str">
        <f ca="1">Calcs!AQ40</f>
        <v>Military</v>
      </c>
      <c r="H30" s="80"/>
      <c r="I30" s="86"/>
    </row>
    <row r="31" spans="1:9" ht="15.75" thickBot="1">
      <c r="A31" s="92"/>
      <c r="B31" s="29">
        <f ca="1">Calcs!AL41</f>
        <v>7</v>
      </c>
      <c r="C31" s="30" t="str">
        <f ca="1">Calcs!AM41</f>
        <v>Таня</v>
      </c>
      <c r="D31" s="30" t="str">
        <f ca="1">Calcs!AN41</f>
        <v>Admiral</v>
      </c>
      <c r="E31" s="31" t="str">
        <f ca="1">Calcs!AO41</f>
        <v>Louis Hoshi</v>
      </c>
      <c r="F31" s="31"/>
      <c r="G31" s="42" t="str">
        <f ca="1">Calcs!AQ41</f>
        <v>Military</v>
      </c>
      <c r="H31" s="32"/>
      <c r="I31" s="86"/>
    </row>
    <row r="32" spans="1:9" ht="10.5" customHeight="1" thickBot="1">
      <c r="A32" s="96"/>
      <c r="B32" s="97"/>
      <c r="C32" s="97"/>
      <c r="D32" s="97"/>
      <c r="E32" s="97"/>
      <c r="F32" s="97"/>
      <c r="G32" s="97"/>
      <c r="H32" s="97"/>
      <c r="I32" s="98"/>
    </row>
    <row r="33" ht="15.75" hidden="1" thickTop="1"/>
    <row r="34" ht="15.75" hidden="1" thickTop="1"/>
  </sheetData>
  <mergeCells count="9">
    <mergeCell ref="B18:C18"/>
    <mergeCell ref="F22:H23"/>
    <mergeCell ref="B22:E23"/>
    <mergeCell ref="B14:C14"/>
    <mergeCell ref="B15:C15"/>
    <mergeCell ref="B16:C16"/>
    <mergeCell ref="B17:C17"/>
    <mergeCell ref="B20:C20"/>
    <mergeCell ref="B19:C19"/>
  </mergeCells>
  <conditionalFormatting sqref="B18:D20">
    <cfRule type="expression" dxfId="15" priority="9">
      <formula>$C$11&lt;5</formula>
    </cfRule>
  </conditionalFormatting>
  <conditionalFormatting sqref="B17:D20">
    <cfRule type="expression" dxfId="14" priority="8">
      <formula>$C$11&lt;4</formula>
    </cfRule>
  </conditionalFormatting>
  <conditionalFormatting sqref="B25:H31">
    <cfRule type="expression" dxfId="13" priority="76">
      <formula>$G25="Cylon Leader"</formula>
    </cfRule>
    <cfRule type="expression" dxfId="12" priority="77">
      <formula>$G25="Political"</formula>
    </cfRule>
    <cfRule type="expression" dxfId="11" priority="78">
      <formula>$G25="Military"</formula>
    </cfRule>
    <cfRule type="expression" dxfId="10" priority="79">
      <formula>$G25="Pilot"</formula>
    </cfRule>
    <cfRule type="expression" dxfId="9" priority="80">
      <formula>$G25="Support"</formula>
    </cfRule>
    <cfRule type="expression" dxfId="8" priority="81">
      <formula>NOT($D25="")</formula>
    </cfRule>
  </conditionalFormatting>
  <conditionalFormatting sqref="F22 B22 B24:H31">
    <cfRule type="expression" dxfId="7" priority="29" stopIfTrue="1">
      <formula>$F$22="INVALID"</formula>
    </cfRule>
  </conditionalFormatting>
  <conditionalFormatting sqref="B28:H31">
    <cfRule type="expression" dxfId="6" priority="1">
      <formula>NOT(ISNUMBER($B28))</formula>
    </cfRule>
  </conditionalFormatting>
  <conditionalFormatting sqref="B19:D20">
    <cfRule type="expression" dxfId="5" priority="10">
      <formula>$C$11&lt;6</formula>
    </cfRule>
  </conditionalFormatting>
  <conditionalFormatting sqref="B20:D20">
    <cfRule type="expression" dxfId="4" priority="27">
      <formula>$C$11&lt;7</formula>
    </cfRule>
  </conditionalFormatting>
  <dataValidations count="6">
    <dataValidation type="list" allowBlank="1" showInputMessage="1" showErrorMessage="1" sqref="E11 H12 H14">
      <formula1>"No,Yes"</formula1>
    </dataValidation>
    <dataValidation type="list" allowBlank="1" showInputMessage="1" showErrorMessage="1" sqref="C11">
      <formula1>"3,4,5,6,7"</formula1>
    </dataValidation>
    <dataValidation type="whole" allowBlank="1" showInputMessage="1" showErrorMessage="1" sqref="H17">
      <formula1>0</formula1>
      <formula2>H18</formula2>
    </dataValidation>
    <dataValidation type="whole" allowBlank="1" showInputMessage="1" showErrorMessage="1" sqref="H18">
      <formula1>H17</formula1>
      <formula2>Num_Players</formula2>
    </dataValidation>
    <dataValidation type="list" allowBlank="1" showInputMessage="1" showErrorMessage="1" sqref="D14:E20">
      <formula1>All_Chars</formula1>
    </dataValidation>
    <dataValidation type="list" allowBlank="1" showInputMessage="1" showErrorMessage="1" sqref="H13">
      <formula1>"No,Yes (CFB), Yes (no CFB)"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Button 9">
              <controlPr defaultSize="0" print="0" autoFill="0" autoPict="0" macro="[0]!Sheet1.GenerateCrew">
                <anchor moveWithCells="1" sizeWithCells="1">
                  <from>
                    <xdr:col>5</xdr:col>
                    <xdr:colOff>114300</xdr:colOff>
                    <xdr:row>18</xdr:row>
                    <xdr:rowOff>161925</xdr:rowOff>
                  </from>
                  <to>
                    <xdr:col>7</xdr:col>
                    <xdr:colOff>733425</xdr:colOff>
                    <xdr:row>20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BS75"/>
  <sheetViews>
    <sheetView showGridLines="0" topLeftCell="B3" zoomScale="85" zoomScaleNormal="85" workbookViewId="0">
      <selection activeCell="AY20" sqref="AY20"/>
    </sheetView>
  </sheetViews>
  <sheetFormatPr defaultRowHeight="15"/>
  <cols>
    <col min="1" max="1" width="2" customWidth="1"/>
    <col min="2" max="2" width="0.5703125" customWidth="1"/>
    <col min="3" max="3" width="9.85546875" bestFit="1" customWidth="1"/>
    <col min="4" max="4" width="4" style="3" customWidth="1"/>
    <col min="5" max="5" width="23.7109375" customWidth="1"/>
    <col min="6" max="6" width="8.85546875" bestFit="1" customWidth="1"/>
    <col min="8" max="8" width="9.140625" style="3"/>
    <col min="9" max="9" width="3.5703125" style="3" customWidth="1"/>
    <col min="10" max="10" width="0.5703125" style="3" customWidth="1"/>
    <col min="11" max="11" width="4.28515625" style="3" customWidth="1"/>
    <col min="13" max="13" width="17.85546875" customWidth="1"/>
    <col min="14" max="14" width="10.42578125" customWidth="1"/>
    <col min="15" max="15" width="9.140625" customWidth="1"/>
    <col min="16" max="16" width="4.140625" customWidth="1"/>
    <col min="17" max="17" width="0.5703125" customWidth="1"/>
    <col min="18" max="18" width="3.85546875" customWidth="1"/>
    <col min="20" max="20" width="18.85546875" customWidth="1"/>
    <col min="21" max="21" width="17.85546875" customWidth="1"/>
    <col min="22" max="22" width="10.140625" customWidth="1"/>
    <col min="23" max="26" width="8.42578125" style="19" customWidth="1"/>
    <col min="27" max="27" width="3.7109375" customWidth="1"/>
    <col min="28" max="28" width="0.5703125" customWidth="1"/>
    <col min="29" max="29" width="3.140625" customWidth="1"/>
    <col min="30" max="30" width="15" customWidth="1"/>
    <col min="31" max="31" width="9.140625" customWidth="1"/>
    <col min="32" max="32" width="19" customWidth="1"/>
    <col min="33" max="33" width="16.5703125" customWidth="1"/>
    <col min="34" max="34" width="2.5703125" bestFit="1" customWidth="1"/>
    <col min="35" max="35" width="18.28515625" customWidth="1"/>
    <col min="39" max="39" width="19.7109375" customWidth="1"/>
    <col min="40" max="40" width="11.140625" customWidth="1"/>
    <col min="41" max="41" width="18.140625" customWidth="1"/>
    <col min="43" max="43" width="15.7109375" bestFit="1" customWidth="1"/>
    <col min="45" max="45" width="14.28515625" bestFit="1" customWidth="1"/>
    <col min="46" max="46" width="22.5703125" customWidth="1"/>
    <col min="47" max="47" width="18.28515625" bestFit="1" customWidth="1"/>
    <col min="48" max="49" width="12" customWidth="1"/>
    <col min="50" max="50" width="2.28515625" customWidth="1"/>
    <col min="51" max="51" width="18.28515625" customWidth="1"/>
    <col min="52" max="52" width="3.5703125" customWidth="1"/>
    <col min="53" max="53" width="11.140625" customWidth="1"/>
    <col min="54" max="54" width="12" customWidth="1"/>
    <col min="55" max="55" width="2.140625" customWidth="1"/>
    <col min="57" max="57" width="11.140625" customWidth="1"/>
    <col min="59" max="59" width="12" customWidth="1"/>
    <col min="60" max="67" width="10.5703125" customWidth="1"/>
    <col min="68" max="68" width="2.5703125" customWidth="1"/>
    <col min="69" max="70" width="10.140625" customWidth="1"/>
    <col min="71" max="71" width="12.7109375" bestFit="1" customWidth="1"/>
  </cols>
  <sheetData>
    <row r="1" spans="2:71" ht="9" customHeight="1"/>
    <row r="2" spans="2:71" ht="3" customHeight="1" thickBot="1">
      <c r="B2" s="17"/>
      <c r="C2" s="17"/>
      <c r="D2" s="9"/>
      <c r="E2" s="17"/>
      <c r="F2" s="17"/>
      <c r="G2" s="17"/>
      <c r="H2" s="9"/>
      <c r="I2" s="9"/>
      <c r="J2" s="9"/>
      <c r="K2" s="9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24"/>
      <c r="X2" s="24"/>
      <c r="Y2" s="24"/>
      <c r="Z2" s="24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</row>
    <row r="3" spans="2:71" ht="24" thickBot="1">
      <c r="B3" s="17"/>
      <c r="D3" s="4" t="s">
        <v>34</v>
      </c>
      <c r="H3" s="8">
        <f ca="1">COUNTIF(H6:H31,"Yes")</f>
        <v>26</v>
      </c>
      <c r="J3" s="9"/>
      <c r="L3" s="5" t="s">
        <v>36</v>
      </c>
      <c r="Q3" s="17"/>
      <c r="S3" s="46" t="s">
        <v>132</v>
      </c>
      <c r="T3" s="51"/>
      <c r="U3" s="52"/>
      <c r="V3" s="52"/>
      <c r="W3" s="53"/>
      <c r="X3" s="53"/>
      <c r="Y3" s="53"/>
      <c r="Z3" s="54"/>
      <c r="AB3" s="17"/>
      <c r="AD3" s="5" t="s">
        <v>39</v>
      </c>
      <c r="AL3" s="142"/>
      <c r="AM3" s="160" t="s">
        <v>58</v>
      </c>
      <c r="AN3" s="143"/>
      <c r="AO3" s="143"/>
      <c r="AP3" s="143"/>
      <c r="AQ3" s="143"/>
      <c r="AR3" s="143"/>
      <c r="AS3" s="156"/>
    </row>
    <row r="4" spans="2:71" ht="20.25" customHeight="1">
      <c r="B4" s="17"/>
      <c r="D4" s="4"/>
      <c r="J4" s="9"/>
      <c r="Q4" s="17"/>
      <c r="S4" s="55"/>
      <c r="T4" s="11"/>
      <c r="U4" s="11"/>
      <c r="V4" s="11"/>
      <c r="W4" s="18"/>
      <c r="X4" s="18"/>
      <c r="Y4" s="18"/>
      <c r="Z4" s="28"/>
      <c r="AB4" s="17"/>
      <c r="AD4" s="105" t="str">
        <f ca="1">IF(MAX(OFFSET($AD$6,,,Num_Players))&gt;1,"INVALID","OK")</f>
        <v>OK</v>
      </c>
      <c r="AE4" s="186" t="str">
        <f ca="1">IF(MAX($AF$6:$AF$8)&gt;MIN($AF$6:$AF$8)+1,"INVALID","OK")</f>
        <v>OK</v>
      </c>
      <c r="AF4" s="187"/>
      <c r="AG4" s="105" t="str">
        <f ca="1">IF(AND(AF9&gt;=Sup_Min,AF9&lt;=Sup_Max),"OK","INVALID")</f>
        <v>OK</v>
      </c>
      <c r="AH4" s="106"/>
      <c r="AI4" s="107" t="str">
        <f ca="1">IF(AND(AD4="OK",AE4="OK",AG4="OK",AU17="OK",Leg_Team_Check="OK"),"OK","INVALID")</f>
        <v>OK</v>
      </c>
      <c r="AJ4" s="19" t="s">
        <v>8</v>
      </c>
      <c r="AK4" s="19" t="s">
        <v>53</v>
      </c>
      <c r="AL4" s="157"/>
      <c r="AM4" s="11"/>
      <c r="AN4" s="11"/>
      <c r="AO4" s="11"/>
      <c r="AP4" s="11"/>
      <c r="AQ4" s="11"/>
      <c r="AR4" s="11"/>
      <c r="AS4" s="158"/>
    </row>
    <row r="5" spans="2:71" ht="15.75" thickBot="1">
      <c r="B5" s="17"/>
      <c r="D5" s="2" t="s">
        <v>30</v>
      </c>
      <c r="E5" s="1" t="s">
        <v>13</v>
      </c>
      <c r="F5" s="1" t="s">
        <v>12</v>
      </c>
      <c r="G5" s="1" t="s">
        <v>14</v>
      </c>
      <c r="H5" s="25" t="s">
        <v>35</v>
      </c>
      <c r="I5" s="6"/>
      <c r="J5" s="10"/>
      <c r="K5" s="6"/>
      <c r="O5" s="2" t="s">
        <v>37</v>
      </c>
      <c r="P5" s="3"/>
      <c r="Q5" s="9"/>
      <c r="R5" s="3"/>
      <c r="S5" s="49" t="s">
        <v>38</v>
      </c>
      <c r="T5" s="2" t="s">
        <v>66</v>
      </c>
      <c r="U5" s="2" t="s">
        <v>13</v>
      </c>
      <c r="V5" s="1" t="s">
        <v>12</v>
      </c>
      <c r="W5" s="27"/>
      <c r="X5" s="41" t="s">
        <v>62</v>
      </c>
      <c r="Y5" s="41" t="s">
        <v>63</v>
      </c>
      <c r="Z5" s="27" t="s">
        <v>61</v>
      </c>
      <c r="AB5" s="17"/>
      <c r="AD5" s="12" t="s">
        <v>40</v>
      </c>
      <c r="AE5" s="188" t="s">
        <v>49</v>
      </c>
      <c r="AF5" s="189"/>
      <c r="AG5" s="21" t="s">
        <v>50</v>
      </c>
      <c r="AH5" s="7"/>
      <c r="AI5" s="22" t="s">
        <v>57</v>
      </c>
      <c r="AJ5" s="19" t="s">
        <v>9</v>
      </c>
      <c r="AK5" s="19" t="s">
        <v>54</v>
      </c>
      <c r="AL5" s="157"/>
      <c r="AM5" s="1" t="s">
        <v>59</v>
      </c>
      <c r="AN5" s="26"/>
      <c r="AO5" s="1" t="s">
        <v>60</v>
      </c>
      <c r="AP5" s="26"/>
      <c r="AQ5" s="1" t="s">
        <v>61</v>
      </c>
      <c r="AR5" s="1"/>
      <c r="AS5" s="158"/>
    </row>
    <row r="6" spans="2:71">
      <c r="B6" s="17"/>
      <c r="C6" s="8">
        <v>1</v>
      </c>
      <c r="D6" s="3">
        <v>1</v>
      </c>
      <c r="E6" t="s">
        <v>0</v>
      </c>
      <c r="F6" t="s">
        <v>8</v>
      </c>
      <c r="G6" t="s">
        <v>15</v>
      </c>
      <c r="H6" s="13" t="s">
        <v>33</v>
      </c>
      <c r="J6" s="9"/>
      <c r="K6" s="123" t="str">
        <f ca="1">IF(OR(M6="Gaius Baltar",M6="Tom Zarek",M6="Helo"),M6&amp;" ("&amp;N6&amp;")",M6)</f>
        <v>Laura Roslin</v>
      </c>
      <c r="L6" s="3">
        <v>1</v>
      </c>
      <c r="M6" s="40" t="str">
        <f t="shared" ref="M6:M22" ca="1" si="0">IFERROR(VLOOKUP(L6,$C$6:$H$31,3,FALSE),"")</f>
        <v>Laura Roslin</v>
      </c>
      <c r="N6" t="str">
        <f t="shared" ref="N6:N31" ca="1" si="1">IFERROR(VLOOKUP(L6,$C$6:$H$31,4,FALSE),"")</f>
        <v>Pol</v>
      </c>
      <c r="O6" s="3">
        <f t="shared" ref="O6:O31" ca="1" si="2">IF(ISNUMBER(L6),RAND(),"")</f>
        <v>9.1178784345225083E-2</v>
      </c>
      <c r="P6" s="3"/>
      <c r="Q6" s="9"/>
      <c r="R6" s="3"/>
      <c r="S6" s="37">
        <f t="shared" ref="S6:S11" ca="1" si="3">IF(L6&gt;Num_Players-(Cylon_Leader="Yes"),"",RANK(O6,Rand_Nos))</f>
        <v>24</v>
      </c>
      <c r="T6" s="7" t="str">
        <f t="shared" ref="T6:T11" ca="1" si="4">IF(AND(X6&lt;&gt;99,X6=MIN($X$6:$X$11)),"President",IF(AND(Y6&lt;&gt;99,Y6=MIN($Y$6:$Y$11)),"Admiral",IF(AND(Z6&lt;&gt;99,Z6=MIN($Z$6:$Z$11)),IF(Exo_Choose="Yes (CFB)","CAG",""),"")))</f>
        <v/>
      </c>
      <c r="U6" s="7" t="str">
        <f t="shared" ref="U6:U31" ca="1" si="5">IFERROR(VLOOKUP($S6,$L$6:$N$31,2,0),"")</f>
        <v>Hotdog</v>
      </c>
      <c r="V6" s="7" t="str">
        <f t="shared" ref="V6:V31" ca="1" si="6">IFERROR(VLOOKUP($S6,$L$6:$N$31,3,0),"")</f>
        <v>Pil</v>
      </c>
      <c r="W6" s="166" t="str">
        <f ca="1">IFERROR(VLOOKUP(Calcs!V6,Roles,2,0),"")</f>
        <v>Pilot</v>
      </c>
      <c r="X6" s="18">
        <f t="shared" ref="X6:X11" ca="1" si="7">IF(S6="","",IF(V6="Pol",VLOOKUP(U6,$AM$6:$AN$12,2,0),99))</f>
        <v>99</v>
      </c>
      <c r="Y6" s="18">
        <f t="shared" ref="Y6:Y11" ca="1" si="8">IF(S6="","",IF(V6="Mil",VLOOKUP(U6,$AO$6:$AP$12,2,0),99))</f>
        <v>99</v>
      </c>
      <c r="Z6" s="28">
        <f t="shared" ref="Z6:Z11" ca="1" si="9">IF(S6="","",IF(V6="Pil",VLOOKUP(U6,$AQ$6:$AR$12,2,0),99))</f>
        <v>6</v>
      </c>
      <c r="AB6" s="17"/>
      <c r="AD6" s="12">
        <f t="shared" ref="AD6:AD11" ca="1" si="10">COUNTIF(TeamNames,U6)</f>
        <v>1</v>
      </c>
      <c r="AE6" s="16" t="s">
        <v>41</v>
      </c>
      <c r="AF6" s="13">
        <f ca="1">COUNTIF(OFFSET($V$6,,,Num_Players),"Pol")</f>
        <v>1</v>
      </c>
      <c r="AJ6" s="19" t="s">
        <v>10</v>
      </c>
      <c r="AK6" s="19" t="s">
        <v>55</v>
      </c>
      <c r="AL6" s="157"/>
      <c r="AM6" s="11" t="s">
        <v>0</v>
      </c>
      <c r="AN6" s="13">
        <v>1</v>
      </c>
      <c r="AO6" s="11" t="s">
        <v>20</v>
      </c>
      <c r="AP6" s="13">
        <v>1</v>
      </c>
      <c r="AQ6" s="11" t="s">
        <v>27</v>
      </c>
      <c r="AR6" s="7">
        <v>1</v>
      </c>
      <c r="AS6" s="158"/>
    </row>
    <row r="7" spans="2:71">
      <c r="B7" s="17"/>
      <c r="C7" s="8">
        <f t="shared" ref="C7:C31" ca="1" si="11">IF(H7="Yes",C6+1,C6)</f>
        <v>2</v>
      </c>
      <c r="D7" s="3">
        <v>2</v>
      </c>
      <c r="E7" t="s">
        <v>1</v>
      </c>
      <c r="F7" t="s">
        <v>8</v>
      </c>
      <c r="G7" t="s">
        <v>15</v>
      </c>
      <c r="H7" s="13" t="s">
        <v>33</v>
      </c>
      <c r="J7" s="9"/>
      <c r="K7" s="123" t="str">
        <f t="shared" ref="K7:K31" ca="1" si="12">IF(OR(M7="Gaius Baltar",M7="Tom Zarek",M7="Helo"),M7&amp;" ("&amp;N7&amp;")",M7)</f>
        <v>Gaius Baltar (Pol)</v>
      </c>
      <c r="L7" s="3">
        <f t="shared" ref="L7:L31" ca="1" si="13">IFERROR(IF(L6+1&gt;$H$3,"",L6+1),"")</f>
        <v>2</v>
      </c>
      <c r="M7" s="40" t="str">
        <f t="shared" ca="1" si="0"/>
        <v>Gaius Baltar</v>
      </c>
      <c r="N7" t="str">
        <f t="shared" ca="1" si="1"/>
        <v>Pol</v>
      </c>
      <c r="O7" s="3">
        <f t="shared" ca="1" si="2"/>
        <v>9.6718916076104278E-2</v>
      </c>
      <c r="P7" s="3"/>
      <c r="Q7" s="9"/>
      <c r="R7" s="3"/>
      <c r="S7" s="37">
        <f t="shared" ca="1" si="3"/>
        <v>23</v>
      </c>
      <c r="T7" s="7" t="str">
        <f t="shared" ca="1" si="4"/>
        <v>CAG</v>
      </c>
      <c r="U7" s="7" t="str">
        <f t="shared" ca="1" si="5"/>
        <v>Helo</v>
      </c>
      <c r="V7" s="7" t="str">
        <f t="shared" ca="1" si="6"/>
        <v>Pil</v>
      </c>
      <c r="W7" s="166" t="str">
        <f ca="1">IFERROR(VLOOKUP(Calcs!V7,Roles,2,0),"")</f>
        <v>Pilot</v>
      </c>
      <c r="X7" s="18">
        <f t="shared" ca="1" si="7"/>
        <v>99</v>
      </c>
      <c r="Y7" s="18">
        <f t="shared" ca="1" si="8"/>
        <v>99</v>
      </c>
      <c r="Z7" s="28">
        <f t="shared" ca="1" si="9"/>
        <v>4</v>
      </c>
      <c r="AB7" s="17"/>
      <c r="AD7" s="12">
        <f t="shared" ca="1" si="10"/>
        <v>1</v>
      </c>
      <c r="AE7" s="16" t="s">
        <v>42</v>
      </c>
      <c r="AF7" s="13">
        <f ca="1">COUNTIF(OFFSET($V$6,,,Num_Players),"Mil")</f>
        <v>2</v>
      </c>
      <c r="AJ7" s="19" t="s">
        <v>11</v>
      </c>
      <c r="AK7" s="19" t="s">
        <v>56</v>
      </c>
      <c r="AL7" s="157"/>
      <c r="AM7" s="11" t="s">
        <v>1</v>
      </c>
      <c r="AN7" s="13">
        <v>2</v>
      </c>
      <c r="AO7" s="11" t="s">
        <v>3</v>
      </c>
      <c r="AP7" s="13">
        <v>2</v>
      </c>
      <c r="AQ7" s="11" t="s">
        <v>6</v>
      </c>
      <c r="AR7" s="7">
        <v>2</v>
      </c>
      <c r="AS7" s="158"/>
    </row>
    <row r="8" spans="2:71">
      <c r="B8" s="17"/>
      <c r="C8" s="8">
        <f t="shared" ca="1" si="11"/>
        <v>3</v>
      </c>
      <c r="D8" s="3">
        <v>3</v>
      </c>
      <c r="E8" t="s">
        <v>2</v>
      </c>
      <c r="F8" t="s">
        <v>8</v>
      </c>
      <c r="G8" t="s">
        <v>15</v>
      </c>
      <c r="H8" s="13" t="s">
        <v>33</v>
      </c>
      <c r="J8" s="9"/>
      <c r="K8" s="123" t="str">
        <f t="shared" ca="1" si="12"/>
        <v>Tom Zarek (Pol)</v>
      </c>
      <c r="L8" s="3">
        <f t="shared" ca="1" si="13"/>
        <v>3</v>
      </c>
      <c r="M8" s="40" t="str">
        <f t="shared" ca="1" si="0"/>
        <v>Tom Zarek</v>
      </c>
      <c r="N8" t="str">
        <f t="shared" ca="1" si="1"/>
        <v>Pol</v>
      </c>
      <c r="O8" s="3">
        <f t="shared" ca="1" si="2"/>
        <v>0.65799860654363063</v>
      </c>
      <c r="P8" s="3"/>
      <c r="Q8" s="9"/>
      <c r="R8" s="3"/>
      <c r="S8" s="37">
        <f t="shared" ca="1" si="3"/>
        <v>11</v>
      </c>
      <c r="T8" s="7" t="str">
        <f t="shared" ca="1" si="4"/>
        <v>President</v>
      </c>
      <c r="U8" s="7" t="str">
        <f t="shared" ca="1" si="5"/>
        <v>Ellen Tigh</v>
      </c>
      <c r="V8" s="7" t="str">
        <f t="shared" ca="1" si="6"/>
        <v>Pol</v>
      </c>
      <c r="W8" s="166" t="str">
        <f ca="1">IFERROR(VLOOKUP(Calcs!V8,Roles,2,0),"")</f>
        <v>Political</v>
      </c>
      <c r="X8" s="18">
        <f t="shared" ca="1" si="7"/>
        <v>7</v>
      </c>
      <c r="Y8" s="18">
        <f t="shared" ca="1" si="8"/>
        <v>99</v>
      </c>
      <c r="Z8" s="28">
        <f t="shared" ca="1" si="9"/>
        <v>99</v>
      </c>
      <c r="AB8" s="17"/>
      <c r="AD8" s="12">
        <f t="shared" ca="1" si="10"/>
        <v>1</v>
      </c>
      <c r="AE8" s="16" t="s">
        <v>43</v>
      </c>
      <c r="AF8" s="13">
        <f ca="1">COUNTIF(OFFSET($V$6,,,Num_Players),"Pil")</f>
        <v>2</v>
      </c>
      <c r="AL8" s="157"/>
      <c r="AM8" s="11" t="s">
        <v>27</v>
      </c>
      <c r="AN8" s="13">
        <v>3</v>
      </c>
      <c r="AO8" s="11" t="s">
        <v>4</v>
      </c>
      <c r="AP8" s="13">
        <v>3</v>
      </c>
      <c r="AQ8" s="11" t="s">
        <v>19</v>
      </c>
      <c r="AR8" s="7">
        <v>3</v>
      </c>
      <c r="AS8" s="158"/>
    </row>
    <row r="9" spans="2:71">
      <c r="B9" s="17"/>
      <c r="C9" s="8">
        <f t="shared" ca="1" si="11"/>
        <v>4</v>
      </c>
      <c r="D9" s="3">
        <v>4</v>
      </c>
      <c r="E9" t="s">
        <v>3</v>
      </c>
      <c r="F9" t="s">
        <v>9</v>
      </c>
      <c r="G9" t="s">
        <v>15</v>
      </c>
      <c r="H9" s="13" t="s">
        <v>33</v>
      </c>
      <c r="J9" s="9"/>
      <c r="K9" s="123" t="str">
        <f t="shared" ca="1" si="12"/>
        <v>William Adama</v>
      </c>
      <c r="L9" s="3">
        <f t="shared" ca="1" si="13"/>
        <v>4</v>
      </c>
      <c r="M9" s="40" t="str">
        <f t="shared" ca="1" si="0"/>
        <v>William Adama</v>
      </c>
      <c r="N9" t="str">
        <f t="shared" ca="1" si="1"/>
        <v>Mil</v>
      </c>
      <c r="O9" s="3">
        <f t="shared" ca="1" si="2"/>
        <v>0.3616034039349918</v>
      </c>
      <c r="P9" s="3"/>
      <c r="Q9" s="9"/>
      <c r="R9" s="3"/>
      <c r="S9" s="37">
        <f t="shared" ca="1" si="3"/>
        <v>18</v>
      </c>
      <c r="T9" s="7" t="str">
        <f t="shared" ca="1" si="4"/>
        <v/>
      </c>
      <c r="U9" s="7" t="str">
        <f t="shared" ca="1" si="5"/>
        <v>Callandra Tyrol</v>
      </c>
      <c r="V9" s="7" t="str">
        <f t="shared" ca="1" si="6"/>
        <v>Sup</v>
      </c>
      <c r="W9" s="166" t="str">
        <f ca="1">IFERROR(VLOOKUP(Calcs!V9,Roles,2,0),"")</f>
        <v>Support</v>
      </c>
      <c r="X9" s="18">
        <f t="shared" ca="1" si="7"/>
        <v>99</v>
      </c>
      <c r="Y9" s="18">
        <f t="shared" ca="1" si="8"/>
        <v>99</v>
      </c>
      <c r="Z9" s="28">
        <f t="shared" ca="1" si="9"/>
        <v>99</v>
      </c>
      <c r="AB9" s="17"/>
      <c r="AD9" s="12">
        <f t="shared" ca="1" si="10"/>
        <v>1</v>
      </c>
      <c r="AE9" s="20" t="s">
        <v>44</v>
      </c>
      <c r="AF9" s="14">
        <f ca="1">COUNTIF(OFFSET($V$6,,,Num_Players),"Sup")</f>
        <v>1</v>
      </c>
      <c r="AL9" s="157"/>
      <c r="AM9" s="11" t="s">
        <v>2</v>
      </c>
      <c r="AN9" s="13">
        <v>4</v>
      </c>
      <c r="AO9" s="11" t="s">
        <v>5</v>
      </c>
      <c r="AP9" s="13">
        <v>4</v>
      </c>
      <c r="AQ9" s="11" t="s">
        <v>5</v>
      </c>
      <c r="AR9" s="7">
        <v>4</v>
      </c>
      <c r="AS9" s="158"/>
    </row>
    <row r="10" spans="2:71">
      <c r="B10" s="17"/>
      <c r="C10" s="8">
        <f t="shared" ca="1" si="11"/>
        <v>5</v>
      </c>
      <c r="D10" s="3">
        <v>5</v>
      </c>
      <c r="E10" t="s">
        <v>4</v>
      </c>
      <c r="F10" t="s">
        <v>9</v>
      </c>
      <c r="G10" t="s">
        <v>15</v>
      </c>
      <c r="H10" s="13" t="s">
        <v>33</v>
      </c>
      <c r="J10" s="9"/>
      <c r="K10" s="123" t="str">
        <f t="shared" ca="1" si="12"/>
        <v>Saul Tigh</v>
      </c>
      <c r="L10" s="3">
        <f t="shared" ca="1" si="13"/>
        <v>5</v>
      </c>
      <c r="M10" s="40" t="str">
        <f t="shared" ca="1" si="0"/>
        <v>Saul Tigh</v>
      </c>
      <c r="N10" t="str">
        <f t="shared" ca="1" si="1"/>
        <v>Mil</v>
      </c>
      <c r="O10" s="3">
        <f t="shared" ca="1" si="2"/>
        <v>0.22277701478581313</v>
      </c>
      <c r="P10" s="3"/>
      <c r="Q10" s="9"/>
      <c r="R10" s="3"/>
      <c r="S10" s="37">
        <f t="shared" ca="1" si="3"/>
        <v>21</v>
      </c>
      <c r="T10" s="7" t="str">
        <f t="shared" ca="1" si="4"/>
        <v/>
      </c>
      <c r="U10" s="7" t="str">
        <f t="shared" ca="1" si="5"/>
        <v>Tom Zarek</v>
      </c>
      <c r="V10" s="7" t="str">
        <f t="shared" ca="1" si="6"/>
        <v>Mil</v>
      </c>
      <c r="W10" s="166" t="str">
        <f ca="1">IFERROR(VLOOKUP(Calcs!V10,Roles,2,0),"")</f>
        <v>Military</v>
      </c>
      <c r="X10" s="18">
        <f t="shared" ca="1" si="7"/>
        <v>99</v>
      </c>
      <c r="Y10" s="18">
        <f t="shared" ca="1" si="8"/>
        <v>7</v>
      </c>
      <c r="Z10" s="28">
        <f t="shared" ca="1" si="9"/>
        <v>99</v>
      </c>
      <c r="AB10" s="17"/>
      <c r="AD10" s="12">
        <f t="shared" ca="1" si="10"/>
        <v>1</v>
      </c>
      <c r="AL10" s="157"/>
      <c r="AM10" s="11" t="s">
        <v>26</v>
      </c>
      <c r="AN10" s="13">
        <v>5</v>
      </c>
      <c r="AO10" s="11" t="s">
        <v>24</v>
      </c>
      <c r="AP10" s="13">
        <v>5</v>
      </c>
      <c r="AQ10" s="11" t="s">
        <v>7</v>
      </c>
      <c r="AR10" s="7">
        <v>5</v>
      </c>
      <c r="AS10" s="158"/>
    </row>
    <row r="11" spans="2:71">
      <c r="B11" s="17"/>
      <c r="C11" s="8">
        <f t="shared" ca="1" si="11"/>
        <v>6</v>
      </c>
      <c r="D11" s="3">
        <v>6</v>
      </c>
      <c r="E11" t="s">
        <v>5</v>
      </c>
      <c r="F11" t="s">
        <v>9</v>
      </c>
      <c r="G11" t="s">
        <v>15</v>
      </c>
      <c r="H11" s="13" t="s">
        <v>33</v>
      </c>
      <c r="J11" s="9"/>
      <c r="K11" s="123" t="str">
        <f t="shared" ca="1" si="12"/>
        <v>Helo (Mil)</v>
      </c>
      <c r="L11" s="3">
        <f t="shared" ca="1" si="13"/>
        <v>6</v>
      </c>
      <c r="M11" s="40" t="str">
        <f t="shared" ca="1" si="0"/>
        <v>Helo</v>
      </c>
      <c r="N11" t="str">
        <f t="shared" ca="1" si="1"/>
        <v>Mil</v>
      </c>
      <c r="O11" s="3">
        <f t="shared" ca="1" si="2"/>
        <v>0.13124354390143245</v>
      </c>
      <c r="P11" s="3"/>
      <c r="Q11" s="9"/>
      <c r="R11" s="3"/>
      <c r="S11" s="49">
        <f t="shared" ca="1" si="3"/>
        <v>22</v>
      </c>
      <c r="T11" s="2" t="str">
        <f t="shared" ca="1" si="4"/>
        <v>Admiral</v>
      </c>
      <c r="U11" s="2" t="str">
        <f t="shared" ca="1" si="5"/>
        <v>Louis Hoshi</v>
      </c>
      <c r="V11" s="2" t="str">
        <f t="shared" ca="1" si="6"/>
        <v>Mil</v>
      </c>
      <c r="W11" s="167" t="str">
        <f ca="1">IFERROR(VLOOKUP(Calcs!V11,Roles,2,0),"")</f>
        <v>Military</v>
      </c>
      <c r="X11" s="60">
        <f t="shared" ca="1" si="7"/>
        <v>99</v>
      </c>
      <c r="Y11" s="60">
        <f t="shared" ca="1" si="8"/>
        <v>6</v>
      </c>
      <c r="Z11" s="167">
        <f t="shared" ca="1" si="9"/>
        <v>99</v>
      </c>
      <c r="AB11" s="17"/>
      <c r="AD11" s="21">
        <f t="shared" ca="1" si="10"/>
        <v>1</v>
      </c>
      <c r="AE11" s="15"/>
      <c r="AL11" s="157"/>
      <c r="AM11" s="11" t="s">
        <v>22</v>
      </c>
      <c r="AN11" s="13">
        <v>6</v>
      </c>
      <c r="AO11" s="11" t="s">
        <v>28</v>
      </c>
      <c r="AP11" s="13">
        <v>6</v>
      </c>
      <c r="AQ11" s="11" t="s">
        <v>29</v>
      </c>
      <c r="AR11" s="7">
        <v>6</v>
      </c>
      <c r="AS11" s="158"/>
    </row>
    <row r="12" spans="2:71">
      <c r="B12" s="17"/>
      <c r="C12" s="8">
        <f t="shared" ca="1" si="11"/>
        <v>7</v>
      </c>
      <c r="D12" s="3">
        <v>7</v>
      </c>
      <c r="E12" t="s">
        <v>27</v>
      </c>
      <c r="F12" t="s">
        <v>10</v>
      </c>
      <c r="G12" t="s">
        <v>15</v>
      </c>
      <c r="H12" s="13" t="s">
        <v>33</v>
      </c>
      <c r="J12" s="9"/>
      <c r="K12" s="123" t="str">
        <f t="shared" ca="1" si="12"/>
        <v>Lee Adama</v>
      </c>
      <c r="L12" s="3">
        <f t="shared" ca="1" si="13"/>
        <v>7</v>
      </c>
      <c r="M12" s="40" t="str">
        <f t="shared" ca="1" si="0"/>
        <v>Lee Adama</v>
      </c>
      <c r="N12" t="str">
        <f t="shared" ca="1" si="1"/>
        <v>Pil</v>
      </c>
      <c r="O12" s="3">
        <f t="shared" ca="1" si="2"/>
        <v>0.64047413829881961</v>
      </c>
      <c r="P12" s="3"/>
      <c r="Q12" s="9"/>
      <c r="R12" s="3"/>
      <c r="S12" s="7"/>
      <c r="T12" s="7"/>
      <c r="U12" s="11"/>
      <c r="V12" s="11"/>
      <c r="W12" s="18"/>
      <c r="X12" s="18"/>
      <c r="Y12" s="18"/>
      <c r="Z12" s="18"/>
      <c r="AB12" s="17"/>
      <c r="AC12" s="11"/>
      <c r="AD12" s="7"/>
      <c r="AE12" s="6"/>
      <c r="AL12" s="157"/>
      <c r="AM12" s="11" t="s">
        <v>21</v>
      </c>
      <c r="AN12" s="13">
        <v>7</v>
      </c>
      <c r="AO12" s="11" t="s">
        <v>2</v>
      </c>
      <c r="AP12" s="13">
        <v>7</v>
      </c>
      <c r="AQ12" s="11" t="s">
        <v>64</v>
      </c>
      <c r="AR12" s="7">
        <v>7</v>
      </c>
      <c r="AS12" s="158"/>
    </row>
    <row r="13" spans="2:71" ht="15.75" thickBot="1">
      <c r="B13" s="17"/>
      <c r="C13" s="8">
        <f t="shared" ca="1" si="11"/>
        <v>8</v>
      </c>
      <c r="D13" s="3">
        <v>8</v>
      </c>
      <c r="E13" t="s">
        <v>6</v>
      </c>
      <c r="F13" t="s">
        <v>10</v>
      </c>
      <c r="G13" t="s">
        <v>15</v>
      </c>
      <c r="H13" s="13" t="s">
        <v>33</v>
      </c>
      <c r="J13" s="9"/>
      <c r="K13" s="123" t="str">
        <f t="shared" ca="1" si="12"/>
        <v>Starbuck</v>
      </c>
      <c r="L13" s="3">
        <f t="shared" ca="1" si="13"/>
        <v>8</v>
      </c>
      <c r="M13" s="40" t="str">
        <f t="shared" ca="1" si="0"/>
        <v>Starbuck</v>
      </c>
      <c r="N13" t="str">
        <f t="shared" ca="1" si="1"/>
        <v>Pil</v>
      </c>
      <c r="O13" s="3">
        <f t="shared" ca="1" si="2"/>
        <v>0.92410698298901017</v>
      </c>
      <c r="P13" s="3"/>
      <c r="Q13" s="9"/>
      <c r="R13" s="3"/>
      <c r="S13" s="7"/>
      <c r="T13" s="7"/>
      <c r="U13" s="11"/>
      <c r="V13" s="11"/>
      <c r="W13" s="18"/>
      <c r="X13" s="18"/>
      <c r="Y13" s="18"/>
      <c r="Z13" s="18"/>
      <c r="AB13" s="17"/>
      <c r="AC13" s="11"/>
      <c r="AD13" s="7"/>
      <c r="AE13" s="11"/>
      <c r="AL13" s="159"/>
      <c r="AM13" s="151"/>
      <c r="AN13" s="151"/>
      <c r="AO13" s="151"/>
      <c r="AP13" s="151"/>
      <c r="AQ13" s="151"/>
      <c r="AR13" s="151"/>
      <c r="AS13" s="161"/>
    </row>
    <row r="14" spans="2:71">
      <c r="B14" s="17"/>
      <c r="C14" s="8">
        <f t="shared" ca="1" si="11"/>
        <v>9</v>
      </c>
      <c r="D14" s="3">
        <v>9</v>
      </c>
      <c r="E14" t="s">
        <v>7</v>
      </c>
      <c r="F14" t="s">
        <v>10</v>
      </c>
      <c r="G14" t="s">
        <v>15</v>
      </c>
      <c r="H14" s="13" t="s">
        <v>33</v>
      </c>
      <c r="J14" s="9"/>
      <c r="K14" s="123" t="str">
        <f t="shared" ca="1" si="12"/>
        <v>Boomer</v>
      </c>
      <c r="L14" s="3">
        <f t="shared" ca="1" si="13"/>
        <v>9</v>
      </c>
      <c r="M14" s="40" t="str">
        <f t="shared" ca="1" si="0"/>
        <v>Boomer</v>
      </c>
      <c r="N14" t="str">
        <f t="shared" ca="1" si="1"/>
        <v>Pil</v>
      </c>
      <c r="O14" s="3">
        <f t="shared" ca="1" si="2"/>
        <v>0.27472404618135438</v>
      </c>
      <c r="P14" s="3"/>
      <c r="Q14" s="9"/>
      <c r="R14" s="3"/>
      <c r="S14" s="7"/>
      <c r="T14" s="7"/>
      <c r="U14" s="11"/>
      <c r="V14" s="11"/>
      <c r="W14" s="18"/>
      <c r="X14" s="18"/>
      <c r="Y14" s="18"/>
      <c r="Z14" s="18"/>
      <c r="AB14" s="17"/>
      <c r="AC14" s="11"/>
      <c r="AD14" s="7"/>
      <c r="AE14" s="11"/>
    </row>
    <row r="15" spans="2:71">
      <c r="B15" s="17"/>
      <c r="C15" s="8">
        <f t="shared" ca="1" si="11"/>
        <v>10</v>
      </c>
      <c r="D15" s="2">
        <v>10</v>
      </c>
      <c r="E15" s="1" t="s">
        <v>23</v>
      </c>
      <c r="F15" s="1" t="s">
        <v>11</v>
      </c>
      <c r="G15" s="1" t="s">
        <v>15</v>
      </c>
      <c r="H15" s="14" t="s">
        <v>33</v>
      </c>
      <c r="J15" s="9"/>
      <c r="K15" s="123" t="str">
        <f t="shared" ca="1" si="12"/>
        <v>Galen Tyrol</v>
      </c>
      <c r="L15" s="3">
        <f t="shared" ca="1" si="13"/>
        <v>10</v>
      </c>
      <c r="M15" s="40" t="str">
        <f t="shared" ca="1" si="0"/>
        <v>Galen Tyrol</v>
      </c>
      <c r="N15" t="str">
        <f t="shared" ca="1" si="1"/>
        <v>Sup</v>
      </c>
      <c r="O15" s="3">
        <f t="shared" ca="1" si="2"/>
        <v>0.55100145139055234</v>
      </c>
      <c r="P15" s="3"/>
      <c r="Q15" s="9"/>
      <c r="R15" s="3"/>
      <c r="S15" s="7"/>
      <c r="T15" s="7"/>
      <c r="U15" s="11"/>
      <c r="V15" s="11"/>
      <c r="W15" s="18"/>
      <c r="X15" s="18"/>
      <c r="Y15" s="18"/>
      <c r="Z15" s="18"/>
      <c r="AB15" s="17"/>
      <c r="AC15" s="11"/>
      <c r="AD15" s="7"/>
      <c r="AE15" s="11"/>
    </row>
    <row r="16" spans="2:71">
      <c r="B16" s="17"/>
      <c r="C16" s="8">
        <f t="shared" ca="1" si="11"/>
        <v>11</v>
      </c>
      <c r="D16" s="3">
        <v>11</v>
      </c>
      <c r="E16" t="s">
        <v>21</v>
      </c>
      <c r="F16" t="s">
        <v>8</v>
      </c>
      <c r="G16" t="s">
        <v>16</v>
      </c>
      <c r="H16" s="13" t="str">
        <f ca="1">Peg_Choose</f>
        <v>Yes</v>
      </c>
      <c r="J16" s="9"/>
      <c r="K16" s="123" t="str">
        <f t="shared" ca="1" si="12"/>
        <v>Ellen Tigh</v>
      </c>
      <c r="L16" s="3">
        <f t="shared" ca="1" si="13"/>
        <v>11</v>
      </c>
      <c r="M16" s="40" t="str">
        <f t="shared" ca="1" si="0"/>
        <v>Ellen Tigh</v>
      </c>
      <c r="N16" t="str">
        <f t="shared" ca="1" si="1"/>
        <v>Pol</v>
      </c>
      <c r="O16" s="3">
        <f t="shared" ca="1" si="2"/>
        <v>0.80915909578693401</v>
      </c>
      <c r="P16" s="3"/>
      <c r="Q16" s="9"/>
      <c r="R16" s="3"/>
      <c r="S16" s="7"/>
      <c r="T16" s="7"/>
      <c r="U16" s="11"/>
      <c r="V16" s="11"/>
      <c r="W16" s="18"/>
      <c r="X16" s="18"/>
      <c r="Y16" s="18"/>
      <c r="Z16" s="18"/>
      <c r="AB16" s="17"/>
      <c r="AC16" s="11"/>
      <c r="AD16" s="7"/>
      <c r="AE16" s="11"/>
    </row>
    <row r="17" spans="2:71" ht="23.25">
      <c r="B17" s="17"/>
      <c r="C17" s="8">
        <f t="shared" ca="1" si="11"/>
        <v>12</v>
      </c>
      <c r="D17" s="3">
        <v>12</v>
      </c>
      <c r="E17" t="s">
        <v>20</v>
      </c>
      <c r="F17" t="s">
        <v>9</v>
      </c>
      <c r="G17" t="s">
        <v>16</v>
      </c>
      <c r="H17" s="13" t="str">
        <f ca="1">Peg_Choose</f>
        <v>Yes</v>
      </c>
      <c r="J17" s="9"/>
      <c r="K17" s="123" t="str">
        <f t="shared" ca="1" si="12"/>
        <v>Helena Cain</v>
      </c>
      <c r="L17" s="3">
        <f t="shared" ca="1" si="13"/>
        <v>12</v>
      </c>
      <c r="M17" s="40" t="str">
        <f t="shared" ca="1" si="0"/>
        <v>Helena Cain</v>
      </c>
      <c r="N17" t="str">
        <f t="shared" ca="1" si="1"/>
        <v>Mil</v>
      </c>
      <c r="O17" s="3">
        <f t="shared" ca="1" si="2"/>
        <v>0.88255935953119402</v>
      </c>
      <c r="P17" s="3"/>
      <c r="Q17" s="9"/>
      <c r="R17" s="3"/>
      <c r="S17" s="7"/>
      <c r="T17" s="7"/>
      <c r="U17" s="11"/>
      <c r="V17" s="11"/>
      <c r="W17" s="18"/>
      <c r="X17" s="18"/>
      <c r="Y17" s="18"/>
      <c r="Z17" s="18"/>
      <c r="AB17" s="17"/>
      <c r="AC17" s="11"/>
      <c r="AD17" s="46" t="s">
        <v>70</v>
      </c>
      <c r="AE17" s="52"/>
      <c r="AF17" s="52"/>
      <c r="AG17" s="52"/>
      <c r="AH17" s="52"/>
      <c r="AI17" s="52"/>
      <c r="AJ17" s="56"/>
      <c r="AL17" s="46" t="s">
        <v>118</v>
      </c>
      <c r="AM17" s="52"/>
      <c r="AN17" s="52"/>
      <c r="AO17" s="52"/>
      <c r="AP17" s="52"/>
      <c r="AQ17" s="56"/>
      <c r="AS17" s="46" t="s">
        <v>78</v>
      </c>
      <c r="AT17" s="52"/>
      <c r="AU17" s="108" t="str">
        <f ca="1">IF(AND(COUNTIF(BA20:BS26,FALSE)=0,COUNTIF(BA20:BS26,"#N/A")=0),"OK","INVALID")</f>
        <v>OK</v>
      </c>
      <c r="AV17" s="52"/>
      <c r="AW17" s="52"/>
      <c r="AX17" s="52"/>
      <c r="AY17" s="52"/>
      <c r="AZ17" s="52"/>
      <c r="BA17" s="124"/>
      <c r="BB17" s="124"/>
      <c r="BC17" s="124"/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6"/>
    </row>
    <row r="18" spans="2:71" ht="15.75" thickBot="1">
      <c r="B18" s="17"/>
      <c r="C18" s="8">
        <f t="shared" ca="1" si="11"/>
        <v>13</v>
      </c>
      <c r="D18" s="3">
        <v>13</v>
      </c>
      <c r="E18" t="s">
        <v>19</v>
      </c>
      <c r="F18" t="s">
        <v>10</v>
      </c>
      <c r="G18" t="s">
        <v>16</v>
      </c>
      <c r="H18" s="13" t="str">
        <f ca="1">Peg_Choose</f>
        <v>Yes</v>
      </c>
      <c r="J18" s="9"/>
      <c r="K18" s="123" t="str">
        <f t="shared" ca="1" si="12"/>
        <v>Kat</v>
      </c>
      <c r="L18" s="3">
        <f t="shared" ca="1" si="13"/>
        <v>13</v>
      </c>
      <c r="M18" s="40" t="str">
        <f t="shared" ca="1" si="0"/>
        <v>Kat</v>
      </c>
      <c r="N18" t="str">
        <f t="shared" ca="1" si="1"/>
        <v>Pil</v>
      </c>
      <c r="O18" s="3">
        <f t="shared" ca="1" si="2"/>
        <v>0.90967060294387303</v>
      </c>
      <c r="P18" s="3"/>
      <c r="Q18" s="9"/>
      <c r="R18" s="3"/>
      <c r="S18" s="7"/>
      <c r="T18" s="7"/>
      <c r="U18" s="11"/>
      <c r="V18" s="11"/>
      <c r="W18" s="18"/>
      <c r="X18" s="18"/>
      <c r="Y18" s="18"/>
      <c r="Z18" s="18"/>
      <c r="AB18" s="17"/>
      <c r="AC18" s="11"/>
      <c r="AD18" s="37"/>
      <c r="AE18" s="11"/>
      <c r="AF18" s="11"/>
      <c r="AG18" s="11"/>
      <c r="AH18" s="11"/>
      <c r="AI18" s="11"/>
      <c r="AJ18" s="34"/>
      <c r="AL18" s="55"/>
      <c r="AM18" s="11"/>
      <c r="AN18" s="11"/>
      <c r="AO18" s="11"/>
      <c r="AP18" s="11"/>
      <c r="AQ18" s="34"/>
      <c r="AS18" s="55"/>
      <c r="AT18" s="11"/>
      <c r="AU18" s="11"/>
      <c r="AV18" s="11" t="s">
        <v>96</v>
      </c>
      <c r="AW18" s="11"/>
      <c r="AX18" s="11"/>
      <c r="AY18" s="11"/>
      <c r="AZ18" s="11"/>
      <c r="BA18" s="11" t="s">
        <v>90</v>
      </c>
      <c r="BB18" s="11"/>
      <c r="BC18" s="11"/>
      <c r="BD18" s="35" t="s">
        <v>81</v>
      </c>
      <c r="BE18" s="11"/>
      <c r="BF18" s="11" t="s">
        <v>82</v>
      </c>
      <c r="BG18" s="11"/>
      <c r="BH18" s="11" t="s">
        <v>83</v>
      </c>
      <c r="BI18" s="11"/>
      <c r="BJ18" s="11" t="s">
        <v>84</v>
      </c>
      <c r="BK18" s="11"/>
      <c r="BL18" s="11" t="s">
        <v>85</v>
      </c>
      <c r="BM18" s="11"/>
      <c r="BN18" s="11" t="s">
        <v>86</v>
      </c>
      <c r="BO18" s="11"/>
      <c r="BP18" s="11"/>
      <c r="BQ18" s="11" t="s">
        <v>97</v>
      </c>
      <c r="BR18" s="34"/>
      <c r="BS18" s="34" t="s">
        <v>107</v>
      </c>
    </row>
    <row r="19" spans="2:71" ht="15.75" thickBot="1">
      <c r="B19" s="17"/>
      <c r="C19" s="8">
        <f t="shared" ca="1" si="11"/>
        <v>14</v>
      </c>
      <c r="D19" s="2">
        <v>14</v>
      </c>
      <c r="E19" s="1" t="s">
        <v>52</v>
      </c>
      <c r="F19" s="1" t="s">
        <v>11</v>
      </c>
      <c r="G19" s="1" t="s">
        <v>16</v>
      </c>
      <c r="H19" s="14" t="str">
        <f ca="1">Peg_Choose</f>
        <v>Yes</v>
      </c>
      <c r="J19" s="9"/>
      <c r="K19" s="123" t="str">
        <f t="shared" ca="1" si="12"/>
        <v>Anastasia Dualla</v>
      </c>
      <c r="L19" s="3">
        <f t="shared" ca="1" si="13"/>
        <v>14</v>
      </c>
      <c r="M19" s="40" t="str">
        <f t="shared" ca="1" si="0"/>
        <v>Anastasia Dualla</v>
      </c>
      <c r="N19" t="str">
        <f t="shared" ca="1" si="1"/>
        <v>Sup</v>
      </c>
      <c r="O19" s="3">
        <f t="shared" ca="1" si="2"/>
        <v>5.4348578931903146E-2</v>
      </c>
      <c r="P19" s="3"/>
      <c r="Q19" s="9"/>
      <c r="R19" s="3"/>
      <c r="V19" s="11"/>
      <c r="W19" s="18"/>
      <c r="X19" s="18"/>
      <c r="Y19" s="18"/>
      <c r="Z19" s="18"/>
      <c r="AB19" s="17"/>
      <c r="AC19" s="11"/>
      <c r="AD19" s="49" t="s">
        <v>37</v>
      </c>
      <c r="AE19" s="2" t="s">
        <v>71</v>
      </c>
      <c r="AF19" s="14" t="s">
        <v>68</v>
      </c>
      <c r="AG19" s="190" t="s">
        <v>72</v>
      </c>
      <c r="AH19" s="191"/>
      <c r="AI19" s="192"/>
      <c r="AJ19" s="44" t="s">
        <v>111</v>
      </c>
      <c r="AL19" s="61" t="s">
        <v>46</v>
      </c>
      <c r="AM19" s="33" t="s">
        <v>69</v>
      </c>
      <c r="AN19" s="33" t="s">
        <v>65</v>
      </c>
      <c r="AO19" s="33" t="s">
        <v>47</v>
      </c>
      <c r="AP19" s="33"/>
      <c r="AQ19" s="62" t="s">
        <v>48</v>
      </c>
      <c r="AS19" s="36" t="s">
        <v>67</v>
      </c>
      <c r="AT19" s="2" t="s">
        <v>76</v>
      </c>
      <c r="AU19" s="14" t="s">
        <v>77</v>
      </c>
      <c r="AV19" s="14" t="s">
        <v>98</v>
      </c>
      <c r="AW19" s="14" t="s">
        <v>99</v>
      </c>
      <c r="AX19" s="11"/>
      <c r="AY19" s="39" t="s">
        <v>116</v>
      </c>
      <c r="AZ19" s="122"/>
      <c r="BA19" s="1" t="s">
        <v>79</v>
      </c>
      <c r="BB19" s="26" t="s">
        <v>80</v>
      </c>
      <c r="BC19" s="1"/>
      <c r="BD19" s="1" t="s">
        <v>79</v>
      </c>
      <c r="BE19" s="1" t="s">
        <v>80</v>
      </c>
      <c r="BF19" s="36" t="s">
        <v>79</v>
      </c>
      <c r="BG19" s="26" t="s">
        <v>80</v>
      </c>
      <c r="BH19" s="36" t="s">
        <v>79</v>
      </c>
      <c r="BI19" s="26" t="s">
        <v>80</v>
      </c>
      <c r="BJ19" s="36" t="s">
        <v>79</v>
      </c>
      <c r="BK19" s="26" t="s">
        <v>80</v>
      </c>
      <c r="BL19" s="36" t="s">
        <v>79</v>
      </c>
      <c r="BM19" s="26" t="s">
        <v>80</v>
      </c>
      <c r="BN19" s="36" t="s">
        <v>79</v>
      </c>
      <c r="BO19" s="26" t="s">
        <v>80</v>
      </c>
      <c r="BP19" s="1"/>
      <c r="BQ19" s="1" t="s">
        <v>79</v>
      </c>
      <c r="BR19" s="26" t="s">
        <v>80</v>
      </c>
      <c r="BS19" s="26" t="s">
        <v>112</v>
      </c>
    </row>
    <row r="20" spans="2:71" ht="21" customHeight="1">
      <c r="B20" s="17"/>
      <c r="C20" s="8">
        <f t="shared" ca="1" si="11"/>
        <v>15</v>
      </c>
      <c r="D20" s="3">
        <v>15</v>
      </c>
      <c r="E20" t="s">
        <v>22</v>
      </c>
      <c r="F20" t="s">
        <v>8</v>
      </c>
      <c r="G20" t="s">
        <v>17</v>
      </c>
      <c r="H20" s="13" t="str">
        <f ca="1">IF(Exo_Choose="No","No","Yes")</f>
        <v>Yes</v>
      </c>
      <c r="J20" s="9"/>
      <c r="K20" s="123" t="str">
        <f t="shared" ca="1" si="12"/>
        <v>Tory Foster</v>
      </c>
      <c r="L20" s="3">
        <f t="shared" ca="1" si="13"/>
        <v>15</v>
      </c>
      <c r="M20" s="40" t="str">
        <f t="shared" ca="1" si="0"/>
        <v>Tory Foster</v>
      </c>
      <c r="N20" t="str">
        <f t="shared" ca="1" si="1"/>
        <v>Pol</v>
      </c>
      <c r="O20" s="3">
        <f t="shared" ca="1" si="2"/>
        <v>0.75794901098787304</v>
      </c>
      <c r="P20" s="3"/>
      <c r="Q20" s="9"/>
      <c r="R20" s="3"/>
      <c r="S20" s="155" t="s">
        <v>133</v>
      </c>
      <c r="T20" s="47"/>
      <c r="U20" s="48" t="s">
        <v>110</v>
      </c>
      <c r="V20" s="11"/>
      <c r="W20" s="18"/>
      <c r="X20" s="18"/>
      <c r="Y20" s="18"/>
      <c r="Z20" s="18"/>
      <c r="AB20" s="17"/>
      <c r="AC20" s="11"/>
      <c r="AD20" s="57">
        <f t="shared" ref="AD20:AD24" ca="1" si="14">IF(AF20="","",RAND())</f>
        <v>0.77883221482262466</v>
      </c>
      <c r="AE20" s="7">
        <f t="shared" ref="AE20:AE23" ca="1" si="15">IF(AD20="","",RANK(AD20,OFFSET($AD$20,,,Num_Players)))</f>
        <v>3</v>
      </c>
      <c r="AF20" s="13" t="str">
        <f ca="1">IF(Choose!B14="","",Choose!B14)</f>
        <v>Ваня</v>
      </c>
      <c r="AG20" s="37">
        <v>1</v>
      </c>
      <c r="AH20" s="58">
        <f ca="1">IF($AJ20="Yes",0,1)</f>
        <v>1</v>
      </c>
      <c r="AI20" s="13" t="str">
        <f ca="1">IFERROR(VLOOKUP(AG20,$AE$20:$AF$26,2,0),"")</f>
        <v>Игорь</v>
      </c>
      <c r="AJ20" s="13" t="str">
        <f ca="1">IF($U$21="","",IF(OR($U$21=$AI20,$U$21=$AG20),"Yes",""))</f>
        <v/>
      </c>
      <c r="AL20" s="37">
        <v>1</v>
      </c>
      <c r="AM20" s="7" t="str">
        <f ca="1">IFERROR(VLOOKUP($AL20,$AH$20:$AI$26,2,0),"")</f>
        <v>Игорь</v>
      </c>
      <c r="AN20" s="7" t="str">
        <f ca="1">Calcs!T6</f>
        <v/>
      </c>
      <c r="AO20" s="7" t="str">
        <f ca="1">IF(AND(Calcs!U6="Lee Adama",Calcs!V6="Pil"),"Apollo",Calcs!U6)</f>
        <v>Hotdog</v>
      </c>
      <c r="AP20" s="11"/>
      <c r="AQ20" s="13" t="str">
        <f ca="1">Calcs!W6</f>
        <v>Pilot</v>
      </c>
      <c r="AS20" s="37" t="str">
        <f ca="1">IF(Choose!B14="","",Choose!B14)</f>
        <v>Ваня</v>
      </c>
      <c r="AT20" s="7" t="str">
        <f ca="1">IF(Choose!D14="","",Choose!D14)</f>
        <v/>
      </c>
      <c r="AU20" s="13" t="str">
        <f ca="1">IF(Choose!E14="","",Choose!E14)</f>
        <v/>
      </c>
      <c r="AV20" s="13" t="str">
        <f ca="1">IF(OR(AT20=$E$35,AT20=$E$36,AT20=$E$37,AT20=$E$38),"YES","NO")</f>
        <v>NO</v>
      </c>
      <c r="AW20" s="13" t="str">
        <f ca="1">IF(OR(AU20=$E$35,AU20=$E$36,AU20=$E$37,AU20=$E$38),"YES","NO")</f>
        <v>NO</v>
      </c>
      <c r="AX20" s="11"/>
      <c r="AY20" s="12" t="str">
        <f t="shared" ref="AY20:AY26" ca="1" si="16">IF(ISNUMBER(MATCH(AT20,$E$70:$E$75,0)),"YES","NO")</f>
        <v>NO</v>
      </c>
      <c r="AZ20" s="7"/>
      <c r="BA20" s="7" t="b">
        <f ca="1">IFERROR(OR(AT20="",AT20="Cylon Leader",AV20="YES",AY20="YES",AT20=VLOOKUP(AS20,$AM$34:$AO$41,3,0)),TRUE)</f>
        <v>1</v>
      </c>
      <c r="BB20" s="13" t="b">
        <f ca="1">IFERROR(OR(AU20="",AU20="Cylon Leader",AV20="YES",AY20="YES",AU20&lt;&gt;VLOOKUP(AS20,$AM$34:$AO$41,3,0)),TRUE)</f>
        <v>1</v>
      </c>
      <c r="BC20" s="7"/>
      <c r="BD20" s="7" t="b">
        <f ca="1">IF(AT20=$E$49,CONCATENATE(VLOOKUP(AS20,$AM$34:$AQ$41,3,0),VLOOKUP($AS20,$AM$34:$AQ$41,5,0))=$F$49,TRUE)</f>
        <v>1</v>
      </c>
      <c r="BE20" s="7" t="b">
        <f ca="1">IF(AU20=$E$49,CONCATENATE(VLOOKUP(AS20,$AM$34:$AQ$41,3,0),VLOOKUP($AS20,$AM$34:$AQ$41,5,0))&lt;&gt;$F$49,TRUE)</f>
        <v>1</v>
      </c>
      <c r="BF20" s="37" t="b">
        <f ca="1">IF(AT20=$E$50,CONCATENATE(VLOOKUP(AS20,$AM$34:$AQ$41,3,0),VLOOKUP($AS20,$AM$34:$AQ$41,5,0))=$F$50,TRUE)</f>
        <v>1</v>
      </c>
      <c r="BG20" s="7" t="b">
        <f ca="1">IF(AU20=$E$50,CONCATENATE(VLOOKUP(AS20,$AM$34:$AQ$41,3,0),VLOOKUP($AS20,$AM$34:$AQ$41,5,0))&lt;&gt;$F$50,TRUE)</f>
        <v>1</v>
      </c>
      <c r="BH20" s="37" t="b">
        <f ca="1">IF($AT20=$E$53,CONCATENATE(VLOOKUP($AS20,$AM$34:$AQ$41,3,0),VLOOKUP($AS20,$AM$34:$AQ$41,5,0))=$F$53,TRUE)</f>
        <v>1</v>
      </c>
      <c r="BI20" s="7" t="b">
        <f ca="1">IF(AU20=$E$53,CONCATENATE(VLOOKUP(AS20,$AM$34:$AQ$41,3,0),VLOOKUP($AS20,$AM$34:$AQ$41,5,0))&lt;&gt;$F$53,TRUE)</f>
        <v>1</v>
      </c>
      <c r="BJ20" s="37" t="b">
        <f ca="1">IF($AT20=$E$54,CONCATENATE(VLOOKUP($AS20,$AM$34:$AQ$41,3,0),VLOOKUP($AS20,$AM$34:$AQ$41,5,0))=$F$54,TRUE)</f>
        <v>1</v>
      </c>
      <c r="BK20" s="7" t="b">
        <f ca="1">IF($AU20=$E$54,CONCATENATE(VLOOKUP($AS20,$AM$34:$AQ$41,3,0),VLOOKUP($AS20,$AM$34:$AQ$41,5,0))&lt;&gt;$F$54,TRUE)</f>
        <v>1</v>
      </c>
      <c r="BL20" s="37" t="b">
        <f ca="1">IF($AT20=$E$64,CONCATENATE(VLOOKUP($AS20,$AM$34:$AQ$41,3,0),VLOOKUP($AS20,$AM$34:$AQ$41,5,0))=$F$64,TRUE)</f>
        <v>1</v>
      </c>
      <c r="BM20" s="7" t="b">
        <f ca="1">IF($AU20=$E$64,CONCATENATE(VLOOKUP($AS20,$AM$34:$AQ$41,3,0),VLOOKUP($AS20,$AM$34:$AQ$41,5,0))&lt;&gt;$F$64,TRUE)</f>
        <v>1</v>
      </c>
      <c r="BN20" s="37" t="b">
        <f ca="1">IF($AT20=$E$65,CONCATENATE(VLOOKUP($AS20,$AM$34:$AQ$41,3,0),VLOOKUP($AS20,$AM$34:$AQ$41,5,0))=$F$65,TRUE)</f>
        <v>1</v>
      </c>
      <c r="BO20" s="13" t="b">
        <f ca="1">IF($AU20=$E$65,CONCATENATE(VLOOKUP($AS20,$AM$34:$AQ$41,3,0),VLOOKUP($AS20,$AM$34:$AQ$41,5,0))&lt;&gt;$F$65,TRUE)</f>
        <v>1</v>
      </c>
      <c r="BP20" s="7"/>
      <c r="BQ20" s="7" t="b">
        <f ca="1">IF($AV20="YES",$AT20=VLOOKUP($AS20,$AM$34:$AQ$41,5,0),TRUE)</f>
        <v>1</v>
      </c>
      <c r="BR20" s="13" t="b">
        <f ca="1">IF($AW20="YES",$AU20&lt;&gt;VLOOKUP($AS20,$AM$34:$AQ$41,5,0),TRUE)</f>
        <v>1</v>
      </c>
      <c r="BS20" s="13" t="b">
        <f ca="1">IF(AU20&lt;&gt;"Cylon Leader",TRUE,VLOOKUP($AS20,$AM$34:$AQ$41,5,0)&lt;&gt;"Cylon Leader")</f>
        <v>1</v>
      </c>
    </row>
    <row r="21" spans="2:71">
      <c r="B21" s="17"/>
      <c r="C21" s="8">
        <f t="shared" ca="1" si="11"/>
        <v>16</v>
      </c>
      <c r="D21" s="3">
        <v>16</v>
      </c>
      <c r="E21" t="s">
        <v>24</v>
      </c>
      <c r="F21" t="s">
        <v>9</v>
      </c>
      <c r="G21" t="s">
        <v>17</v>
      </c>
      <c r="H21" s="13" t="str">
        <f ca="1">IF(Exo_Choose="No","No","Yes")</f>
        <v>Yes</v>
      </c>
      <c r="J21" s="9"/>
      <c r="K21" s="123" t="str">
        <f t="shared" ca="1" si="12"/>
        <v>Felix Gaeta</v>
      </c>
      <c r="L21" s="3">
        <f t="shared" ca="1" si="13"/>
        <v>16</v>
      </c>
      <c r="M21" s="40" t="str">
        <f t="shared" ca="1" si="0"/>
        <v>Felix Gaeta</v>
      </c>
      <c r="N21" t="str">
        <f t="shared" ca="1" si="1"/>
        <v>Mil</v>
      </c>
      <c r="O21" s="3">
        <f t="shared" ca="1" si="2"/>
        <v>0.31165629296333519</v>
      </c>
      <c r="P21" s="3"/>
      <c r="Q21" s="9"/>
      <c r="R21" s="3"/>
      <c r="S21" s="49">
        <f ca="1">IFERROR(MATCH(MAX($U$35:$U$41),$U$35:$U$41,0),"")</f>
        <v>7</v>
      </c>
      <c r="T21" s="2" t="str">
        <f ca="1">IFERROR(VLOOKUP($S$21,$S$35:$T$41,2,0),"")</f>
        <v>Simon O'Neill</v>
      </c>
      <c r="U21" s="50">
        <f ca="1">IF(Cylon_Leader="Yes",IF(COUNTIF(Choose!$D$14:$D$20,"Cylon Leader")&gt;0,OFFSET(Choose!$D$13,MATCH("Cylon Leader",Choose!$D$14:$D$20,0),-2),ROUNDUP(RANDBETWEEN(0.0001,Num_Players),1)),"")</f>
        <v>2</v>
      </c>
      <c r="V21" s="7"/>
      <c r="W21" s="18"/>
      <c r="X21" s="18"/>
      <c r="Y21" s="18"/>
      <c r="Z21" s="18"/>
      <c r="AB21" s="17"/>
      <c r="AC21" s="11"/>
      <c r="AD21" s="57">
        <f t="shared" ca="1" si="14"/>
        <v>0.29594062386206854</v>
      </c>
      <c r="AE21" s="7">
        <f t="shared" ca="1" si="15"/>
        <v>7</v>
      </c>
      <c r="AF21" s="13" t="str">
        <f ca="1">IF(Choose!B15="","",Choose!B15)</f>
        <v>Таня</v>
      </c>
      <c r="AG21" s="37">
        <f ca="1">IF(AD21="","",AG20+1)</f>
        <v>2</v>
      </c>
      <c r="AH21" s="58">
        <f t="shared" ref="AH21:AH26" ca="1" si="17">IF($AJ21="Yes",$AH20,$AH20+1)</f>
        <v>1</v>
      </c>
      <c r="AI21" s="13" t="str">
        <f t="shared" ref="AI21:AI26" ca="1" si="18">IFERROR(VLOOKUP(AG21,$AE$20:$AF$26,2,0),"")</f>
        <v>Вова</v>
      </c>
      <c r="AJ21" s="13" t="str">
        <f t="shared" ref="AJ21:AJ26" ca="1" si="19">IF($U$21="","",IF(OR($U$21=$AI21,$U$21=$AG21),"Yes",""))</f>
        <v>Yes</v>
      </c>
      <c r="AL21" s="37">
        <f t="shared" ref="AL21:AL25" ca="1" si="20">IFERROR(IF(AL20+1&gt;Num_Players-(Cylon_Leader="Yes"),"",AL20+1),"")</f>
        <v>2</v>
      </c>
      <c r="AM21" s="7" t="str">
        <f t="shared" ref="AM21:AM25" ca="1" si="21">IFERROR(VLOOKUP($AL21,$AH$20:$AI$26,2,0),"")</f>
        <v>Ваня</v>
      </c>
      <c r="AN21" s="7" t="str">
        <f ca="1">Calcs!T7</f>
        <v>CAG</v>
      </c>
      <c r="AO21" s="7" t="str">
        <f ca="1">IF(AND(Calcs!U7="Lee Adama",Calcs!V7="Pil"),"Apollo",Calcs!U7)</f>
        <v>Helo</v>
      </c>
      <c r="AP21" s="11"/>
      <c r="AQ21" s="13" t="str">
        <f ca="1">Calcs!W7</f>
        <v>Pilot</v>
      </c>
      <c r="AS21" s="37" t="str">
        <f ca="1">IF(Choose!B15="","",Choose!B15)</f>
        <v>Таня</v>
      </c>
      <c r="AT21" s="7" t="str">
        <f ca="1">IF(Choose!D15="","",Choose!D15)</f>
        <v/>
      </c>
      <c r="AU21" s="13" t="str">
        <f ca="1">IF(Choose!E15="","",Choose!E15)</f>
        <v/>
      </c>
      <c r="AV21" s="13" t="str">
        <f t="shared" ref="AV21:AV24" ca="1" si="22">IF(OR(AT21=$E$35,AT21=$E$36,AT21=$E$37,AT21=$E$38),"YES","NO")</f>
        <v>NO</v>
      </c>
      <c r="AW21" s="13" t="str">
        <f t="shared" ref="AW21:AW24" ca="1" si="23">IF(OR(AU21=$E$35,AU21=$E$36,AU21=$E$37,AU21=$E$38),"YES","NO")</f>
        <v>NO</v>
      </c>
      <c r="AX21" s="11"/>
      <c r="AY21" s="12" t="str">
        <f t="shared" ca="1" si="16"/>
        <v>NO</v>
      </c>
      <c r="AZ21" s="7"/>
      <c r="BA21" s="7" t="b">
        <f ca="1">IFERROR(OR(AT21="",AT21="Cylon Leader",AV21="YES",AY21="YES",AT21=VLOOKUP(AS21,$AM$34:$AO$41,3,0)),TRUE)</f>
        <v>1</v>
      </c>
      <c r="BB21" s="13" t="b">
        <f ca="1">IFERROR(OR(AU21="",AU21="Cylon Leader",AV21="YES",AY21="YES",AU21&lt;&gt;VLOOKUP(AS21,$AM$34:$AO$41,3,0)),TRUE)</f>
        <v>1</v>
      </c>
      <c r="BC21" s="7"/>
      <c r="BD21" s="7" t="b">
        <f ca="1">IF(AT21=$E$49,CONCATENATE(VLOOKUP(AS21,$AM$34:$AQ$41,3,0),VLOOKUP($AS21,$AM$34:$AQ$41,5,0))=$F$49,TRUE)</f>
        <v>1</v>
      </c>
      <c r="BE21" s="7" t="b">
        <f ca="1">IF(AU21=$E$49,CONCATENATE(VLOOKUP(AS21,$AM$34:$AQ$41,3,0),VLOOKUP($AS21,$AM$34:$AQ$41,5,0))&lt;&gt;$F$49,TRUE)</f>
        <v>1</v>
      </c>
      <c r="BF21" s="37" t="b">
        <f ca="1">IF(AT21=$E$50,CONCATENATE(VLOOKUP(AS21,$AM$34:$AQ$41,3,0),VLOOKUP($AS21,$AM$34:$AQ$41,5,0))=$F$50,TRUE)</f>
        <v>1</v>
      </c>
      <c r="BG21" s="7" t="b">
        <f ca="1">IF(AU21=$E$50,CONCATENATE(VLOOKUP(AS21,$AM$34:$AQ$41,3,0),VLOOKUP($AS21,$AM$34:$AQ$41,5,0))&lt;&gt;$F$50,TRUE)</f>
        <v>1</v>
      </c>
      <c r="BH21" s="37" t="b">
        <f ca="1">IF($AT21=$E$53,CONCATENATE(VLOOKUP($AS21,$AM$34:$AQ$41,3,0),VLOOKUP($AS21,$AM$34:$AQ$41,5,0))=$F$53,TRUE)</f>
        <v>1</v>
      </c>
      <c r="BI21" s="7" t="b">
        <f ca="1">IF(AU21=$E$53,CONCATENATE(VLOOKUP(AS21,$AM$34:$AQ$41,3,0),VLOOKUP($AS21,$AM$34:$AQ$41,5,0))&lt;&gt;$F$53,TRUE)</f>
        <v>1</v>
      </c>
      <c r="BJ21" s="37" t="b">
        <f ca="1">IF($AT21=$E$54,CONCATENATE(VLOOKUP($AS21,$AM$34:$AQ$41,3,0),VLOOKUP($AS21,$AM$34:$AQ$41,5,0))=$F$54,TRUE)</f>
        <v>1</v>
      </c>
      <c r="BK21" s="7" t="b">
        <f ca="1">IF($AU21=$E$54,CONCATENATE(VLOOKUP($AS21,$AM$34:$AQ$41,3,0),VLOOKUP($AS21,$AM$34:$AQ$41,5,0))&lt;&gt;$F$54,TRUE)</f>
        <v>1</v>
      </c>
      <c r="BL21" s="37" t="b">
        <f ca="1">IF($AT21=$E$64,CONCATENATE(VLOOKUP($AS21,$AM$34:$AQ$41,3,0),VLOOKUP($AS21,$AM$34:$AQ$41,5,0))=$F$64,TRUE)</f>
        <v>1</v>
      </c>
      <c r="BM21" s="7" t="b">
        <f ca="1">IF($AU21=$E$64,CONCATENATE(VLOOKUP($AS21,$AM$34:$AQ$41,3,0),VLOOKUP($AS21,$AM$34:$AQ$41,5,0))&lt;&gt;$F$64,TRUE)</f>
        <v>1</v>
      </c>
      <c r="BN21" s="37" t="b">
        <f ca="1">IF($AT21=$E$65,CONCATENATE(VLOOKUP($AS21,$AM$34:$AQ$41,3,0),VLOOKUP($AS21,$AM$34:$AQ$41,5,0))=$F$65,TRUE)</f>
        <v>1</v>
      </c>
      <c r="BO21" s="13" t="b">
        <f ca="1">IF($AU21=$E$65,CONCATENATE(VLOOKUP($AS21,$AM$34:$AQ$41,3,0),VLOOKUP($AS21,$AM$34:$AQ$41,5,0))&lt;&gt;$F$65,TRUE)</f>
        <v>1</v>
      </c>
      <c r="BP21" s="7"/>
      <c r="BQ21" s="7" t="b">
        <f ca="1">IF($AV21="YES",$AT21=VLOOKUP($AS21,$AM$34:$AQ$41,5,0),TRUE)</f>
        <v>1</v>
      </c>
      <c r="BR21" s="13" t="b">
        <f ca="1">IF($AW21="YES",$AU21&lt;&gt;VLOOKUP($AS21,$AM$34:$AQ$41,5,0),TRUE)</f>
        <v>1</v>
      </c>
      <c r="BS21" s="13" t="b">
        <f ca="1">IF(AU21&lt;&gt;"Cylon Leader",TRUE,VLOOKUP($AS21,$AM$34:$AQ$41,5,0)&lt;&gt;"Cylon Leader")</f>
        <v>1</v>
      </c>
    </row>
    <row r="22" spans="2:71">
      <c r="B22" s="17"/>
      <c r="C22" s="8">
        <f t="shared" ca="1" si="11"/>
        <v>17</v>
      </c>
      <c r="D22" s="3">
        <v>17</v>
      </c>
      <c r="E22" t="s">
        <v>64</v>
      </c>
      <c r="F22" t="s">
        <v>10</v>
      </c>
      <c r="G22" t="s">
        <v>17</v>
      </c>
      <c r="H22" s="13" t="str">
        <f ca="1">IF(Exo_Choose="No","No","Yes")</f>
        <v>Yes</v>
      </c>
      <c r="J22" s="9"/>
      <c r="K22" s="123" t="str">
        <f t="shared" ca="1" si="12"/>
        <v>Samuel Anders</v>
      </c>
      <c r="L22" s="3">
        <f t="shared" ca="1" si="13"/>
        <v>17</v>
      </c>
      <c r="M22" s="40" t="str">
        <f t="shared" ca="1" si="0"/>
        <v>Samuel Anders</v>
      </c>
      <c r="N22" t="str">
        <f t="shared" ca="1" si="1"/>
        <v>Pil</v>
      </c>
      <c r="O22" s="3">
        <f t="shared" ca="1" si="2"/>
        <v>0.45118457560633607</v>
      </c>
      <c r="P22" s="3"/>
      <c r="Q22" s="9"/>
      <c r="R22" s="3"/>
      <c r="S22" s="7"/>
      <c r="T22" s="7"/>
      <c r="U22" s="11"/>
      <c r="V22" s="11"/>
      <c r="W22" s="18"/>
      <c r="X22" s="18"/>
      <c r="Y22" s="18"/>
      <c r="Z22" s="18"/>
      <c r="AB22" s="17"/>
      <c r="AC22" s="11"/>
      <c r="AD22" s="57">
        <f t="shared" ca="1" si="14"/>
        <v>0.41611900093811083</v>
      </c>
      <c r="AE22" s="7">
        <f t="shared" ca="1" si="15"/>
        <v>6</v>
      </c>
      <c r="AF22" s="13" t="str">
        <f ca="1">IF(Choose!B16="","",Choose!B16)</f>
        <v>Женя</v>
      </c>
      <c r="AG22" s="37">
        <f t="shared" ref="AG22:AG25" ca="1" si="24">IF(AD22="","",AG21+1)</f>
        <v>3</v>
      </c>
      <c r="AH22" s="58">
        <f t="shared" ca="1" si="17"/>
        <v>2</v>
      </c>
      <c r="AI22" s="13" t="str">
        <f t="shared" ca="1" si="18"/>
        <v>Ваня</v>
      </c>
      <c r="AJ22" s="13" t="str">
        <f t="shared" ca="1" si="19"/>
        <v/>
      </c>
      <c r="AL22" s="37">
        <f t="shared" ca="1" si="20"/>
        <v>3</v>
      </c>
      <c r="AM22" s="7" t="str">
        <f t="shared" ca="1" si="21"/>
        <v>Настя</v>
      </c>
      <c r="AN22" s="7" t="str">
        <f ca="1">Calcs!T8</f>
        <v>President</v>
      </c>
      <c r="AO22" s="7" t="str">
        <f ca="1">IF(AND(Calcs!U8="Lee Adama",Calcs!V8="Pil"),"Apollo",Calcs!U8)</f>
        <v>Ellen Tigh</v>
      </c>
      <c r="AP22" s="11"/>
      <c r="AQ22" s="13" t="str">
        <f ca="1">Calcs!W8</f>
        <v>Political</v>
      </c>
      <c r="AS22" s="37" t="str">
        <f ca="1">IF(Choose!B16="","",Choose!B16)</f>
        <v>Женя</v>
      </c>
      <c r="AT22" s="7" t="str">
        <f ca="1">IF(Choose!D16="","",Choose!D16)</f>
        <v/>
      </c>
      <c r="AU22" s="13" t="str">
        <f ca="1">IF(Choose!E16="","",Choose!E16)</f>
        <v/>
      </c>
      <c r="AV22" s="13" t="str">
        <f t="shared" ca="1" si="22"/>
        <v>NO</v>
      </c>
      <c r="AW22" s="13" t="str">
        <f t="shared" ca="1" si="23"/>
        <v>NO</v>
      </c>
      <c r="AX22" s="11"/>
      <c r="AY22" s="12" t="str">
        <f t="shared" ca="1" si="16"/>
        <v>NO</v>
      </c>
      <c r="AZ22" s="7"/>
      <c r="BA22" s="7" t="b">
        <f ca="1">IFERROR(OR(AT22="",AT22="Cylon Leader",AV22="YES",AY22="YES",AT22=VLOOKUP(AS22,$AM$34:$AO$41,3,0)),TRUE)</f>
        <v>1</v>
      </c>
      <c r="BB22" s="13" t="b">
        <f ca="1">IFERROR(OR(AU22="",AU22="Cylon Leader",AV22="YES",AY22="YES",AU22&lt;&gt;VLOOKUP(AS22,$AM$34:$AO$41,3,0)),TRUE)</f>
        <v>1</v>
      </c>
      <c r="BC22" s="7"/>
      <c r="BD22" s="7" t="b">
        <f ca="1">IF(AT22=$E$49,CONCATENATE(VLOOKUP(AS22,$AM$34:$AQ$41,3,0),VLOOKUP($AS22,$AM$34:$AQ$41,5,0))=$F$49,TRUE)</f>
        <v>1</v>
      </c>
      <c r="BE22" s="7" t="b">
        <f ca="1">IF(AU22=$E$49,CONCATENATE(VLOOKUP(AS22,$AM$34:$AQ$41,3,0),VLOOKUP($AS22,$AM$34:$AQ$41,5,0))&lt;&gt;$F$49,TRUE)</f>
        <v>1</v>
      </c>
      <c r="BF22" s="37" t="b">
        <f ca="1">IF(AT22=$E$50,CONCATENATE(VLOOKUP(AS22,$AM$34:$AQ$41,3,0),VLOOKUP($AS22,$AM$34:$AQ$41,5,0))=$F$50,TRUE)</f>
        <v>1</v>
      </c>
      <c r="BG22" s="7" t="b">
        <f ca="1">IF(AU22=$E$50,CONCATENATE(VLOOKUP(AS22,$AM$34:$AQ$41,3,0),VLOOKUP($AS22,$AM$34:$AQ$41,5,0))&lt;&gt;$F$50,TRUE)</f>
        <v>1</v>
      </c>
      <c r="BH22" s="37" t="b">
        <f ca="1">IF($AT22=$E$53,CONCATENATE(VLOOKUP($AS22,$AM$34:$AQ$41,3,0),VLOOKUP($AS22,$AM$34:$AQ$41,5,0))=$F$53,TRUE)</f>
        <v>1</v>
      </c>
      <c r="BI22" s="7" t="b">
        <f ca="1">IF(AU22=$E$53,CONCATENATE(VLOOKUP(AS22,$AM$34:$AQ$41,3,0),VLOOKUP($AS22,$AM$34:$AQ$41,5,0))&lt;&gt;$F$53,TRUE)</f>
        <v>1</v>
      </c>
      <c r="BJ22" s="37" t="b">
        <f ca="1">IF($AT22=$E$54,CONCATENATE(VLOOKUP($AS22,$AM$34:$AQ$41,3,0),VLOOKUP($AS22,$AM$34:$AQ$41,5,0))=$F$54,TRUE)</f>
        <v>1</v>
      </c>
      <c r="BK22" s="7" t="b">
        <f ca="1">IF($AU22=$E$54,CONCATENATE(VLOOKUP($AS22,$AM$34:$AQ$41,3,0),VLOOKUP($AS22,$AM$34:$AQ$41,5,0))&lt;&gt;$F$54,TRUE)</f>
        <v>1</v>
      </c>
      <c r="BL22" s="37" t="b">
        <f ca="1">IF($AT22=$E$64,CONCATENATE(VLOOKUP($AS22,$AM$34:$AQ$41,3,0),VLOOKUP($AS22,$AM$34:$AQ$41,5,0))=$F$64,TRUE)</f>
        <v>1</v>
      </c>
      <c r="BM22" s="7" t="b">
        <f ca="1">IF($AU22=$E$64,CONCATENATE(VLOOKUP($AS22,$AM$34:$AQ$41,3,0),VLOOKUP($AS22,$AM$34:$AQ$41,5,0))&lt;&gt;$F$64,TRUE)</f>
        <v>1</v>
      </c>
      <c r="BN22" s="37" t="b">
        <f ca="1">IF($AT22=$E$65,CONCATENATE(VLOOKUP($AS22,$AM$34:$AQ$41,3,0),VLOOKUP($AS22,$AM$34:$AQ$41,5,0))=$F$65,TRUE)</f>
        <v>1</v>
      </c>
      <c r="BO22" s="13" t="b">
        <f ca="1">IF($AU22=$E$65,CONCATENATE(VLOOKUP($AS22,$AM$34:$AQ$41,3,0),VLOOKUP($AS22,$AM$34:$AQ$41,5,0))&lt;&gt;$F$65,TRUE)</f>
        <v>1</v>
      </c>
      <c r="BP22" s="7"/>
      <c r="BQ22" s="7" t="b">
        <f ca="1">IF($AV22="YES",$AT22=VLOOKUP($AS22,$AM$34:$AQ$41,5,0),TRUE)</f>
        <v>1</v>
      </c>
      <c r="BR22" s="13" t="b">
        <f ca="1">IF($AW22="YES",$AU22&lt;&gt;VLOOKUP($AS22,$AM$34:$AQ$41,5,0),TRUE)</f>
        <v>1</v>
      </c>
      <c r="BS22" s="13" t="b">
        <f ca="1">IF(AU22&lt;&gt;"Cylon Leader",TRUE,VLOOKUP($AS22,$AM$34:$AQ$41,5,0)&lt;&gt;"Cylon Leader")</f>
        <v>1</v>
      </c>
    </row>
    <row r="23" spans="2:71">
      <c r="B23" s="17"/>
      <c r="C23" s="8">
        <f t="shared" ca="1" si="11"/>
        <v>18</v>
      </c>
      <c r="D23" s="2">
        <v>18</v>
      </c>
      <c r="E23" s="1" t="s">
        <v>51</v>
      </c>
      <c r="F23" s="1" t="s">
        <v>11</v>
      </c>
      <c r="G23" s="1" t="s">
        <v>17</v>
      </c>
      <c r="H23" s="14" t="str">
        <f ca="1">IF(Exo_Choose="No","No","Yes")</f>
        <v>Yes</v>
      </c>
      <c r="J23" s="9"/>
      <c r="K23" s="123" t="str">
        <f t="shared" ca="1" si="12"/>
        <v>Callandra Tyrol</v>
      </c>
      <c r="L23" s="3">
        <f t="shared" ca="1" si="13"/>
        <v>18</v>
      </c>
      <c r="M23" s="40" t="str">
        <f t="shared" ref="M23:M31" ca="1" si="25">IFERROR(VLOOKUP(L23,$C$6:$H$31,3,FALSE),"")</f>
        <v>Callandra Tyrol</v>
      </c>
      <c r="N23" t="str">
        <f t="shared" ca="1" si="1"/>
        <v>Sup</v>
      </c>
      <c r="O23" s="3">
        <f t="shared" ca="1" si="2"/>
        <v>0.81634768365873556</v>
      </c>
      <c r="P23" s="3"/>
      <c r="Q23" s="9"/>
      <c r="R23" s="3"/>
      <c r="S23" s="7"/>
      <c r="T23" s="7"/>
      <c r="U23" s="11"/>
      <c r="V23" s="11"/>
      <c r="W23" s="18"/>
      <c r="X23" s="18"/>
      <c r="Y23" s="18"/>
      <c r="Z23" s="18"/>
      <c r="AB23" s="17"/>
      <c r="AC23" s="11"/>
      <c r="AD23" s="57">
        <f t="shared" ca="1" si="14"/>
        <v>0.59916421993122393</v>
      </c>
      <c r="AE23" s="7">
        <f t="shared" ca="1" si="15"/>
        <v>4</v>
      </c>
      <c r="AF23" s="13" t="str">
        <f ca="1">IF(Choose!B17="","",Choose!B17)</f>
        <v>Настя</v>
      </c>
      <c r="AG23" s="37">
        <f t="shared" ca="1" si="24"/>
        <v>4</v>
      </c>
      <c r="AH23" s="58">
        <f t="shared" ca="1" si="17"/>
        <v>3</v>
      </c>
      <c r="AI23" s="13" t="str">
        <f t="shared" ca="1" si="18"/>
        <v>Настя</v>
      </c>
      <c r="AJ23" s="13" t="str">
        <f t="shared" ca="1" si="19"/>
        <v/>
      </c>
      <c r="AL23" s="37">
        <f t="shared" ca="1" si="20"/>
        <v>4</v>
      </c>
      <c r="AM23" s="7" t="str">
        <f t="shared" ca="1" si="21"/>
        <v>Алёна</v>
      </c>
      <c r="AN23" s="7" t="str">
        <f ca="1">Calcs!T9</f>
        <v/>
      </c>
      <c r="AO23" s="7" t="str">
        <f ca="1">IF(AND(Calcs!U9="Lee Adama",Calcs!V9="Pil"),"Apollo",Calcs!U9)</f>
        <v>Callandra Tyrol</v>
      </c>
      <c r="AP23" s="11"/>
      <c r="AQ23" s="13" t="str">
        <f ca="1">Calcs!W9</f>
        <v>Support</v>
      </c>
      <c r="AS23" s="37" t="str">
        <f ca="1">IF(Choose!B17="","",Choose!B17)</f>
        <v>Настя</v>
      </c>
      <c r="AT23" s="7" t="str">
        <f ca="1">IF(Choose!D17="","",Choose!D17)</f>
        <v/>
      </c>
      <c r="AU23" s="13" t="str">
        <f ca="1">IF(Choose!E17="","",Choose!E17)</f>
        <v/>
      </c>
      <c r="AV23" s="13" t="str">
        <f t="shared" ca="1" si="22"/>
        <v>NO</v>
      </c>
      <c r="AW23" s="13" t="str">
        <f t="shared" ca="1" si="23"/>
        <v>NO</v>
      </c>
      <c r="AX23" s="11"/>
      <c r="AY23" s="12" t="str">
        <f t="shared" ca="1" si="16"/>
        <v>NO</v>
      </c>
      <c r="AZ23" s="7"/>
      <c r="BA23" s="7" t="b">
        <f ca="1">IFERROR(OR(AT23="",AT23="Cylon Leader",AV23="YES",AY23="YES",AT23=VLOOKUP(AS23,$AM$34:$AO$41,3,0)),TRUE)</f>
        <v>1</v>
      </c>
      <c r="BB23" s="13" t="b">
        <f ca="1">IFERROR(OR(AU23="",AU23="Cylon Leader",AV23="YES",AY23="YES",AU23&lt;&gt;VLOOKUP(AS23,$AM$34:$AO$41,3,0)),TRUE)</f>
        <v>1</v>
      </c>
      <c r="BC23" s="7"/>
      <c r="BD23" s="7" t="b">
        <f ca="1">IF(AT23=$E$49,CONCATENATE(VLOOKUP(AS23,$AM$34:$AQ$41,3,0),VLOOKUP($AS23,$AM$34:$AQ$41,5,0))=$F$49,TRUE)</f>
        <v>1</v>
      </c>
      <c r="BE23" s="7" t="b">
        <f ca="1">IF(AU23=$E$49,CONCATENATE(VLOOKUP(AS23,$AM$34:$AQ$41,3,0),VLOOKUP($AS23,$AM$34:$AQ$41,5,0))&lt;&gt;$F$49,TRUE)</f>
        <v>1</v>
      </c>
      <c r="BF23" s="37" t="b">
        <f ca="1">IF(AT23=$E$50,CONCATENATE(VLOOKUP(AS23,$AM$34:$AQ$41,3,0),VLOOKUP($AS23,$AM$34:$AQ$41,5,0))=$F$50,TRUE)</f>
        <v>1</v>
      </c>
      <c r="BG23" s="7" t="b">
        <f ca="1">IF(AU23=$E$50,CONCATENATE(VLOOKUP(AS23,$AM$34:$AQ$41,3,0),VLOOKUP($AS23,$AM$34:$AQ$41,5,0))&lt;&gt;$F$50,TRUE)</f>
        <v>1</v>
      </c>
      <c r="BH23" s="37" t="b">
        <f ca="1">IF($AT23=$E$53,CONCATENATE(VLOOKUP($AS23,$AM$34:$AQ$41,3,0),VLOOKUP($AS23,$AM$34:$AQ$41,5,0))=$F$53,TRUE)</f>
        <v>1</v>
      </c>
      <c r="BI23" s="7" t="b">
        <f ca="1">IF(AU23=$E$53,CONCATENATE(VLOOKUP(AS23,$AM$34:$AQ$41,3,0),VLOOKUP($AS23,$AM$34:$AQ$41,5,0))&lt;&gt;$F$53,TRUE)</f>
        <v>1</v>
      </c>
      <c r="BJ23" s="37" t="b">
        <f ca="1">IF($AT23=$E$54,CONCATENATE(VLOOKUP($AS23,$AM$34:$AQ$41,3,0),VLOOKUP($AS23,$AM$34:$AQ$41,5,0))=$F$54,TRUE)</f>
        <v>1</v>
      </c>
      <c r="BK23" s="7" t="b">
        <f ca="1">IF($AU23=$E$54,CONCATENATE(VLOOKUP($AS23,$AM$34:$AQ$41,3,0),VLOOKUP($AS23,$AM$34:$AQ$41,5,0))&lt;&gt;$F$54,TRUE)</f>
        <v>1</v>
      </c>
      <c r="BL23" s="37" t="b">
        <f ca="1">IF($AT23=$E$64,CONCATENATE(VLOOKUP($AS23,$AM$34:$AQ$41,3,0),VLOOKUP($AS23,$AM$34:$AQ$41,5,0))=$F$64,TRUE)</f>
        <v>1</v>
      </c>
      <c r="BM23" s="7" t="b">
        <f ca="1">IF($AU23=$E$64,CONCATENATE(VLOOKUP($AS23,$AM$34:$AQ$41,3,0),VLOOKUP($AS23,$AM$34:$AQ$41,5,0))&lt;&gt;$F$64,TRUE)</f>
        <v>1</v>
      </c>
      <c r="BN23" s="37" t="b">
        <f ca="1">IF($AT23=$E$65,CONCATENATE(VLOOKUP($AS23,$AM$34:$AQ$41,3,0),VLOOKUP($AS23,$AM$34:$AQ$41,5,0))=$F$65,TRUE)</f>
        <v>1</v>
      </c>
      <c r="BO23" s="13" t="b">
        <f ca="1">IF($AU23=$E$65,CONCATENATE(VLOOKUP($AS23,$AM$34:$AQ$41,3,0),VLOOKUP($AS23,$AM$34:$AQ$41,5,0))&lt;&gt;$F$65,TRUE)</f>
        <v>1</v>
      </c>
      <c r="BP23" s="7"/>
      <c r="BQ23" s="7" t="b">
        <f ca="1">IF($AV23="YES",$AT23=VLOOKUP($AS23,$AM$34:$AQ$41,5,0),TRUE)</f>
        <v>1</v>
      </c>
      <c r="BR23" s="13" t="b">
        <f ca="1">IF($AW23="YES",$AU23&lt;&gt;VLOOKUP($AS23,$AM$34:$AQ$41,5,0),TRUE)</f>
        <v>1</v>
      </c>
      <c r="BS23" s="13" t="b">
        <f ca="1">IF(AU23&lt;&gt;"Cylon Leader",TRUE,VLOOKUP($AS23,$AM$34:$AQ$41,5,0)&lt;&gt;"Cylon Leader")</f>
        <v>1</v>
      </c>
    </row>
    <row r="24" spans="2:71">
      <c r="B24" s="17"/>
      <c r="C24" s="8">
        <f t="shared" ca="1" si="11"/>
        <v>19</v>
      </c>
      <c r="D24" s="3">
        <v>19</v>
      </c>
      <c r="E24" t="s">
        <v>26</v>
      </c>
      <c r="F24" t="s">
        <v>8</v>
      </c>
      <c r="G24" t="s">
        <v>18</v>
      </c>
      <c r="H24" s="13" t="str">
        <f t="shared" ref="H24:H31" ca="1" si="26">Day_Choose</f>
        <v>Yes</v>
      </c>
      <c r="J24" s="9"/>
      <c r="K24" s="123" t="str">
        <f t="shared" ca="1" si="12"/>
        <v>Romo Lampkin</v>
      </c>
      <c r="L24" s="3">
        <f t="shared" ca="1" si="13"/>
        <v>19</v>
      </c>
      <c r="M24" t="str">
        <f t="shared" ca="1" si="25"/>
        <v>Romo Lampkin</v>
      </c>
      <c r="N24" t="str">
        <f t="shared" ca="1" si="1"/>
        <v>Pol</v>
      </c>
      <c r="O24" s="3">
        <f t="shared" ca="1" si="2"/>
        <v>0.60625007640295281</v>
      </c>
      <c r="P24" s="3"/>
      <c r="Q24" s="9"/>
      <c r="R24" s="3"/>
      <c r="S24" s="7"/>
      <c r="T24" s="7"/>
      <c r="U24" s="11"/>
      <c r="V24" s="11"/>
      <c r="W24" s="18"/>
      <c r="X24" s="18"/>
      <c r="Y24" s="18"/>
      <c r="Z24" s="18"/>
      <c r="AB24" s="17"/>
      <c r="AC24" s="11"/>
      <c r="AD24" s="57">
        <f t="shared" ca="1" si="14"/>
        <v>0.99882811793320503</v>
      </c>
      <c r="AE24" s="7">
        <f ca="1">IF(AD24="","",RANK(AD24,OFFSET($AD$20,,,Num_Players)))</f>
        <v>1</v>
      </c>
      <c r="AF24" s="13" t="str">
        <f ca="1">IF(Choose!B18="","",Choose!B18)</f>
        <v>Игорь</v>
      </c>
      <c r="AG24" s="37">
        <f t="shared" ca="1" si="24"/>
        <v>5</v>
      </c>
      <c r="AH24" s="58">
        <f t="shared" ca="1" si="17"/>
        <v>4</v>
      </c>
      <c r="AI24" s="13" t="str">
        <f t="shared" ca="1" si="18"/>
        <v>Алёна</v>
      </c>
      <c r="AJ24" s="13" t="str">
        <f t="shared" ca="1" si="19"/>
        <v/>
      </c>
      <c r="AL24" s="37">
        <f t="shared" ca="1" si="20"/>
        <v>5</v>
      </c>
      <c r="AM24" s="7" t="str">
        <f t="shared" ca="1" si="21"/>
        <v>Женя</v>
      </c>
      <c r="AN24" s="7" t="str">
        <f ca="1">Calcs!T10</f>
        <v/>
      </c>
      <c r="AO24" s="7" t="str">
        <f ca="1">IF(AND(Calcs!U10="Lee Adama",Calcs!V10="Pil"),"Apollo",Calcs!U10)</f>
        <v>Tom Zarek</v>
      </c>
      <c r="AP24" s="11"/>
      <c r="AQ24" s="13" t="str">
        <f ca="1">Calcs!W10</f>
        <v>Military</v>
      </c>
      <c r="AS24" s="37" t="str">
        <f ca="1">IF(Choose!B18="","",Choose!B18)</f>
        <v>Игорь</v>
      </c>
      <c r="AT24" s="7" t="str">
        <f ca="1">IF(Choose!D18="","",Choose!D18)</f>
        <v/>
      </c>
      <c r="AU24" s="13" t="str">
        <f ca="1">IF(Choose!E18="","",Choose!E18)</f>
        <v/>
      </c>
      <c r="AV24" s="13" t="str">
        <f t="shared" ca="1" si="22"/>
        <v>NO</v>
      </c>
      <c r="AW24" s="13" t="str">
        <f t="shared" ca="1" si="23"/>
        <v>NO</v>
      </c>
      <c r="AX24" s="11"/>
      <c r="AY24" s="12" t="str">
        <f t="shared" ca="1" si="16"/>
        <v>NO</v>
      </c>
      <c r="AZ24" s="7"/>
      <c r="BA24" s="7" t="b">
        <f ca="1">IFERROR(OR(AT24="",AT24="Cylon Leader",AV24="YES",AY24="YES",AT24=VLOOKUP(AS24,$AM$34:$AO$41,3,0)),TRUE)</f>
        <v>1</v>
      </c>
      <c r="BB24" s="13" t="b">
        <f ca="1">IFERROR(OR(AU24="",AU24="Cylon Leader",AV24="YES",AY24="YES",AU24&lt;&gt;VLOOKUP(AS24,$AM$34:$AO$41,3,0)),TRUE)</f>
        <v>1</v>
      </c>
      <c r="BC24" s="7"/>
      <c r="BD24" s="7" t="b">
        <f ca="1">IF(AT24=$E$49,CONCATENATE(VLOOKUP(AS24,$AM$34:$AQ$41,3,0),VLOOKUP($AS24,$AM$34:$AQ$41,5,0))=$F$49,TRUE)</f>
        <v>1</v>
      </c>
      <c r="BE24" s="7" t="b">
        <f ca="1">IF(AU24=$E$49,CONCATENATE(VLOOKUP(AS24,$AM$34:$AQ$41,3,0),VLOOKUP($AS24,$AM$34:$AQ$41,5,0))&lt;&gt;$F$49,TRUE)</f>
        <v>1</v>
      </c>
      <c r="BF24" s="37" t="b">
        <f ca="1">IF(AT24=$E$50,CONCATENATE(VLOOKUP(AS24,$AM$34:$AQ$41,3,0),VLOOKUP($AS24,$AM$34:$AQ$41,5,0))=$F$50,TRUE)</f>
        <v>1</v>
      </c>
      <c r="BG24" s="7" t="b">
        <f ca="1">IF(AU24=$E$50,CONCATENATE(VLOOKUP(AS24,$AM$34:$AQ$41,3,0),VLOOKUP($AS24,$AM$34:$AQ$41,5,0))&lt;&gt;$F$50,TRUE)</f>
        <v>1</v>
      </c>
      <c r="BH24" s="37" t="b">
        <f ca="1">IF($AT24=$E$53,CONCATENATE(VLOOKUP($AS24,$AM$34:$AQ$41,3,0),VLOOKUP($AS24,$AM$34:$AQ$41,5,0))=$F$53,TRUE)</f>
        <v>1</v>
      </c>
      <c r="BI24" s="7" t="b">
        <f ca="1">IF(AU24=$E$53,CONCATENATE(VLOOKUP(AS24,$AM$34:$AQ$41,3,0),VLOOKUP($AS24,$AM$34:$AQ$41,5,0))&lt;&gt;$F$53,TRUE)</f>
        <v>1</v>
      </c>
      <c r="BJ24" s="37" t="b">
        <f ca="1">IF($AT24=$E$54,CONCATENATE(VLOOKUP($AS24,$AM$34:$AQ$41,3,0),VLOOKUP($AS24,$AM$34:$AQ$41,5,0))=$F$54,TRUE)</f>
        <v>1</v>
      </c>
      <c r="BK24" s="7" t="b">
        <f ca="1">IF($AU24=$E$54,CONCATENATE(VLOOKUP($AS24,$AM$34:$AQ$41,3,0),VLOOKUP($AS24,$AM$34:$AQ$41,5,0))&lt;&gt;$F$54,TRUE)</f>
        <v>1</v>
      </c>
      <c r="BL24" s="37" t="b">
        <f ca="1">IF($AT24=$E$64,CONCATENATE(VLOOKUP($AS24,$AM$34:$AQ$41,3,0),VLOOKUP($AS24,$AM$34:$AQ$41,5,0))=$F$64,TRUE)</f>
        <v>1</v>
      </c>
      <c r="BM24" s="7" t="b">
        <f ca="1">IF($AU24=$E$64,CONCATENATE(VLOOKUP($AS24,$AM$34:$AQ$41,3,0),VLOOKUP($AS24,$AM$34:$AQ$41,5,0))&lt;&gt;$F$64,TRUE)</f>
        <v>1</v>
      </c>
      <c r="BN24" s="37" t="b">
        <f ca="1">IF($AT24=$E$65,CONCATENATE(VLOOKUP($AS24,$AM$34:$AQ$41,3,0),VLOOKUP($AS24,$AM$34:$AQ$41,5,0))=$F$65,TRUE)</f>
        <v>1</v>
      </c>
      <c r="BO24" s="13" t="b">
        <f ca="1">IF($AU24=$E$65,CONCATENATE(VLOOKUP($AS24,$AM$34:$AQ$41,3,0),VLOOKUP($AS24,$AM$34:$AQ$41,5,0))&lt;&gt;$F$65,TRUE)</f>
        <v>1</v>
      </c>
      <c r="BP24" s="7"/>
      <c r="BQ24" s="7" t="b">
        <f ca="1">IF($AV24="YES",$AT24=VLOOKUP($AS24,$AM$34:$AQ$41,5,0),TRUE)</f>
        <v>1</v>
      </c>
      <c r="BR24" s="13" t="b">
        <f ca="1">IF($AW24="YES",$AU24&lt;&gt;VLOOKUP($AS24,$AM$34:$AQ$41,5,0),TRUE)</f>
        <v>1</v>
      </c>
      <c r="BS24" s="13" t="b">
        <f ca="1">IF(AU24&lt;&gt;"Cylon Leader",TRUE,VLOOKUP($AS24,$AM$34:$AQ$41,5,0)&lt;&gt;"Cylon Leader")</f>
        <v>1</v>
      </c>
    </row>
    <row r="25" spans="2:71">
      <c r="B25" s="17"/>
      <c r="C25" s="8">
        <f t="shared" ca="1" si="11"/>
        <v>20</v>
      </c>
      <c r="D25" s="3">
        <v>20</v>
      </c>
      <c r="E25" t="s">
        <v>27</v>
      </c>
      <c r="F25" t="s">
        <v>8</v>
      </c>
      <c r="G25" t="s">
        <v>18</v>
      </c>
      <c r="H25" s="13" t="str">
        <f t="shared" ca="1" si="26"/>
        <v>Yes</v>
      </c>
      <c r="J25" s="9"/>
      <c r="K25" s="123" t="str">
        <f t="shared" ca="1" si="12"/>
        <v>Lee Adama</v>
      </c>
      <c r="L25" s="3">
        <f t="shared" ca="1" si="13"/>
        <v>20</v>
      </c>
      <c r="M25" t="str">
        <f t="shared" ca="1" si="25"/>
        <v>Lee Adama</v>
      </c>
      <c r="N25" t="str">
        <f t="shared" ca="1" si="1"/>
        <v>Pol</v>
      </c>
      <c r="O25" s="3">
        <f t="shared" ca="1" si="2"/>
        <v>0.44640747294060412</v>
      </c>
      <c r="P25" s="3"/>
      <c r="Q25" s="9"/>
      <c r="R25" s="3"/>
      <c r="S25" s="7"/>
      <c r="T25" s="7"/>
      <c r="U25" s="11"/>
      <c r="V25" s="11"/>
      <c r="W25" s="18"/>
      <c r="X25" s="18"/>
      <c r="Y25" s="18"/>
      <c r="Z25" s="18"/>
      <c r="AB25" s="17"/>
      <c r="AC25" s="11"/>
      <c r="AD25" s="57">
        <f t="shared" ref="AD25:AD26" ca="1" si="27">IF(AF25="","",RAND())</f>
        <v>0.54762481945811081</v>
      </c>
      <c r="AE25" s="7">
        <f ca="1">IF(AD25="","",RANK(AD25,OFFSET($AD$20,,,Num_Players)))</f>
        <v>5</v>
      </c>
      <c r="AF25" s="13" t="str">
        <f ca="1">IF(Choose!B19="","",Choose!B19)</f>
        <v>Алёна</v>
      </c>
      <c r="AG25" s="37">
        <f t="shared" ca="1" si="24"/>
        <v>6</v>
      </c>
      <c r="AH25" s="58">
        <f t="shared" ca="1" si="17"/>
        <v>5</v>
      </c>
      <c r="AI25" s="13" t="str">
        <f t="shared" ca="1" si="18"/>
        <v>Женя</v>
      </c>
      <c r="AJ25" s="13" t="str">
        <f t="shared" ca="1" si="19"/>
        <v/>
      </c>
      <c r="AL25" s="49">
        <f t="shared" ca="1" si="20"/>
        <v>6</v>
      </c>
      <c r="AM25" s="2" t="str">
        <f t="shared" ca="1" si="21"/>
        <v>Таня</v>
      </c>
      <c r="AN25" s="2" t="str">
        <f ca="1">Calcs!T11</f>
        <v>Admiral</v>
      </c>
      <c r="AO25" s="2" t="str">
        <f ca="1">IF(AND(Calcs!U11="Lee Adama",Calcs!V11="Pil"),"Apollo",Calcs!U11)</f>
        <v>Louis Hoshi</v>
      </c>
      <c r="AP25" s="1"/>
      <c r="AQ25" s="14" t="str">
        <f ca="1">Calcs!W11</f>
        <v>Military</v>
      </c>
      <c r="AS25" s="37" t="str">
        <f ca="1">IF(Choose!B19="","",Choose!B19)</f>
        <v>Алёна</v>
      </c>
      <c r="AT25" s="7" t="str">
        <f ca="1">IF(Choose!D19="","",Choose!D19)</f>
        <v/>
      </c>
      <c r="AU25" s="13" t="str">
        <f ca="1">IF(Choose!E19="","",Choose!E19)</f>
        <v/>
      </c>
      <c r="AV25" s="13" t="str">
        <f t="shared" ref="AV25:AV26" ca="1" si="28">IF(OR(AT25=$E$35,AT25=$E$36,AT25=$E$37,AT25=$E$38),"YES","NO")</f>
        <v>NO</v>
      </c>
      <c r="AW25" s="13" t="str">
        <f t="shared" ref="AW25:AW26" ca="1" si="29">IF(OR(AU25=$E$35,AU25=$E$36,AU25=$E$37,AU25=$E$38),"YES","NO")</f>
        <v>NO</v>
      </c>
      <c r="AX25" s="11"/>
      <c r="AY25" s="12" t="str">
        <f t="shared" ca="1" si="16"/>
        <v>NO</v>
      </c>
      <c r="AZ25" s="7"/>
      <c r="BA25" s="7" t="b">
        <f ca="1">IFERROR(OR(AT25="",AT25="Cylon Leader",AV25="YES",AY25="YES",AT25=VLOOKUP(AS25,$AM$34:$AO$41,3,0)),TRUE)</f>
        <v>1</v>
      </c>
      <c r="BB25" s="13" t="b">
        <f ca="1">IFERROR(OR(AU25="",AU25="Cylon Leader",AV25="YES",AY25="YES",AU25&lt;&gt;VLOOKUP(AS25,$AM$34:$AO$41,3,0)),TRUE)</f>
        <v>1</v>
      </c>
      <c r="BC25" s="7"/>
      <c r="BD25" s="7" t="b">
        <f ca="1">IF(AT25=$E$49,CONCATENATE(VLOOKUP(AS25,$AM$34:$AQ$41,3,0),VLOOKUP($AS25,$AM$34:$AQ$41,5,0))=$F$49,TRUE)</f>
        <v>1</v>
      </c>
      <c r="BE25" s="7" t="b">
        <f ca="1">IF(AU25=$E$49,CONCATENATE(VLOOKUP(AS25,$AM$34:$AQ$41,3,0),VLOOKUP($AS25,$AM$34:$AQ$41,5,0))&lt;&gt;$F$49,TRUE)</f>
        <v>1</v>
      </c>
      <c r="BF25" s="37" t="b">
        <f ca="1">IF(AT25=$E$50,CONCATENATE(VLOOKUP(AS25,$AM$34:$AQ$41,3,0),VLOOKUP($AS25,$AM$34:$AQ$41,5,0))=$F$50,TRUE)</f>
        <v>1</v>
      </c>
      <c r="BG25" s="7" t="b">
        <f ca="1">IF(AU25=$E$50,CONCATENATE(VLOOKUP(AS25,$AM$34:$AQ$41,3,0),VLOOKUP($AS25,$AM$34:$AQ$41,5,0))&lt;&gt;$F$50,TRUE)</f>
        <v>1</v>
      </c>
      <c r="BH25" s="37" t="b">
        <f ca="1">IF($AT25=$E$53,CONCATENATE(VLOOKUP($AS25,$AM$34:$AQ$41,3,0),VLOOKUP($AS25,$AM$34:$AQ$41,5,0))=$F$53,TRUE)</f>
        <v>1</v>
      </c>
      <c r="BI25" s="7" t="b">
        <f ca="1">IF(AU25=$E$53,CONCATENATE(VLOOKUP(AS25,$AM$34:$AQ$41,3,0),VLOOKUP($AS25,$AM$34:$AQ$41,5,0))&lt;&gt;$F$53,TRUE)</f>
        <v>1</v>
      </c>
      <c r="BJ25" s="37" t="b">
        <f ca="1">IF($AT25=$E$54,CONCATENATE(VLOOKUP($AS25,$AM$34:$AQ$41,3,0),VLOOKUP($AS25,$AM$34:$AQ$41,5,0))=$F$54,TRUE)</f>
        <v>1</v>
      </c>
      <c r="BK25" s="7" t="b">
        <f ca="1">IF($AU25=$E$54,CONCATENATE(VLOOKUP($AS25,$AM$34:$AQ$41,3,0),VLOOKUP($AS25,$AM$34:$AQ$41,5,0))&lt;&gt;$F$54,TRUE)</f>
        <v>1</v>
      </c>
      <c r="BL25" s="37" t="b">
        <f ca="1">IF($AT25=$E$64,CONCATENATE(VLOOKUP($AS25,$AM$34:$AQ$41,3,0),VLOOKUP($AS25,$AM$34:$AQ$41,5,0))=$F$64,TRUE)</f>
        <v>1</v>
      </c>
      <c r="BM25" s="7" t="b">
        <f ca="1">IF($AU25=$E$64,CONCATENATE(VLOOKUP($AS25,$AM$34:$AQ$41,3,0),VLOOKUP($AS25,$AM$34:$AQ$41,5,0))&lt;&gt;$F$64,TRUE)</f>
        <v>1</v>
      </c>
      <c r="BN25" s="37" t="b">
        <f ca="1">IF($AT25=$E$65,CONCATENATE(VLOOKUP($AS25,$AM$34:$AQ$41,3,0),VLOOKUP($AS25,$AM$34:$AQ$41,5,0))=$F$65,TRUE)</f>
        <v>1</v>
      </c>
      <c r="BO25" s="13" t="b">
        <f ca="1">IF($AU25=$E$65,CONCATENATE(VLOOKUP($AS25,$AM$34:$AQ$41,3,0),VLOOKUP($AS25,$AM$34:$AQ$41,5,0))&lt;&gt;$F$65,TRUE)</f>
        <v>1</v>
      </c>
      <c r="BP25" s="7"/>
      <c r="BQ25" s="7" t="b">
        <f ca="1">IF($AV25="YES",$AT25=VLOOKUP($AS25,$AM$34:$AQ$41,5,0),TRUE)</f>
        <v>1</v>
      </c>
      <c r="BR25" s="13" t="b">
        <f ca="1">IF($AW25="YES",$AU25&lt;&gt;VLOOKUP($AS25,$AM$34:$AQ$41,5,0),TRUE)</f>
        <v>1</v>
      </c>
      <c r="BS25" s="13" t="b">
        <f ca="1">IF(AU25&lt;&gt;"Cylon Leader",TRUE,VLOOKUP($AS25,$AM$34:$AQ$41,5,0)&lt;&gt;"Cylon Leader")</f>
        <v>1</v>
      </c>
    </row>
    <row r="26" spans="2:71">
      <c r="B26" s="17"/>
      <c r="C26" s="8">
        <f t="shared" ca="1" si="11"/>
        <v>21</v>
      </c>
      <c r="D26" s="3">
        <v>21</v>
      </c>
      <c r="E26" t="s">
        <v>2</v>
      </c>
      <c r="F26" t="s">
        <v>9</v>
      </c>
      <c r="G26" t="s">
        <v>18</v>
      </c>
      <c r="H26" s="13" t="str">
        <f t="shared" ca="1" si="26"/>
        <v>Yes</v>
      </c>
      <c r="J26" s="9"/>
      <c r="K26" s="123" t="str">
        <f t="shared" ca="1" si="12"/>
        <v>Tom Zarek (Mil)</v>
      </c>
      <c r="L26" s="3">
        <f t="shared" ca="1" si="13"/>
        <v>21</v>
      </c>
      <c r="M26" t="str">
        <f t="shared" ca="1" si="25"/>
        <v>Tom Zarek</v>
      </c>
      <c r="N26" t="str">
        <f t="shared" ca="1" si="1"/>
        <v>Mil</v>
      </c>
      <c r="O26" s="3">
        <f t="shared" ca="1" si="2"/>
        <v>0.80717135919805927</v>
      </c>
      <c r="P26" s="3"/>
      <c r="Q26" s="9"/>
      <c r="R26" s="3"/>
      <c r="S26" s="7"/>
      <c r="T26" s="7"/>
      <c r="U26" s="11"/>
      <c r="V26" s="11"/>
      <c r="W26" s="18"/>
      <c r="X26" s="18"/>
      <c r="Y26" s="18"/>
      <c r="Z26" s="18"/>
      <c r="AB26" s="17"/>
      <c r="AC26" s="11"/>
      <c r="AD26" s="59">
        <f t="shared" ca="1" si="27"/>
        <v>0.83023837638070419</v>
      </c>
      <c r="AE26" s="2">
        <f ca="1">IF(AD26="","",RANK(AD26,OFFSET($AD$20,,,Num_Players)))</f>
        <v>2</v>
      </c>
      <c r="AF26" s="14" t="str">
        <f ca="1">IF(Choose!B20="","",Choose!B20)</f>
        <v>Вова</v>
      </c>
      <c r="AG26" s="49">
        <f t="shared" ref="AG26" ca="1" si="30">IF(AD26="","",AG25+1)</f>
        <v>7</v>
      </c>
      <c r="AH26" s="60">
        <f t="shared" ca="1" si="17"/>
        <v>6</v>
      </c>
      <c r="AI26" s="14" t="str">
        <f t="shared" ca="1" si="18"/>
        <v>Таня</v>
      </c>
      <c r="AJ26" s="14" t="str">
        <f t="shared" ca="1" si="19"/>
        <v/>
      </c>
      <c r="AL26" s="3"/>
      <c r="AM26" s="3"/>
      <c r="AN26" s="3"/>
      <c r="AO26" s="3"/>
      <c r="AQ26" s="3"/>
      <c r="AS26" s="49" t="str">
        <f ca="1">IF(Choose!B20="","",Choose!B20)</f>
        <v>Вова</v>
      </c>
      <c r="AT26" s="2" t="str">
        <f ca="1">IF(Choose!D20="","",Choose!D20)</f>
        <v/>
      </c>
      <c r="AU26" s="14" t="str">
        <f ca="1">IF(Choose!E20="","",Choose!E20)</f>
        <v/>
      </c>
      <c r="AV26" s="14" t="str">
        <f t="shared" ca="1" si="28"/>
        <v>NO</v>
      </c>
      <c r="AW26" s="14" t="str">
        <f t="shared" ca="1" si="29"/>
        <v>NO</v>
      </c>
      <c r="AX26" s="1"/>
      <c r="AY26" s="21" t="str">
        <f t="shared" ca="1" si="16"/>
        <v>NO</v>
      </c>
      <c r="AZ26" s="2"/>
      <c r="BA26" s="2" t="b">
        <f ca="1">IFERROR(OR(AT26="",AT26="Cylon Leader",AV26="YES",AY26="YES",AT26=VLOOKUP(AS26,$AM$34:$AO$41,3,0)),TRUE)</f>
        <v>1</v>
      </c>
      <c r="BB26" s="14" t="b">
        <f ca="1">IFERROR(OR(AU26="",AU26="Cylon Leader",AV26="YES",AY26="YES",AU26&lt;&gt;VLOOKUP(AS26,$AM$34:$AO$41,3,0)),TRUE)</f>
        <v>1</v>
      </c>
      <c r="BC26" s="2"/>
      <c r="BD26" s="2" t="b">
        <f ca="1">IF(AT26=$E$49,CONCATENATE(VLOOKUP(AS26,$AM$34:$AQ$41,3,0),VLOOKUP($AS26,$AM$34:$AQ$41,5,0))=$F$49,TRUE)</f>
        <v>1</v>
      </c>
      <c r="BE26" s="2" t="b">
        <f ca="1">IF(AU26=$E$49,CONCATENATE(VLOOKUP(AS26,$AM$34:$AQ$41,3,0),VLOOKUP($AS26,$AM$34:$AQ$41,5,0))&lt;&gt;$F$49,TRUE)</f>
        <v>1</v>
      </c>
      <c r="BF26" s="49" t="b">
        <f ca="1">IF(AT26=$E$50,CONCATENATE(VLOOKUP(AS26,$AM$34:$AQ$41,3,0),VLOOKUP($AS26,$AM$34:$AQ$41,5,0))=$F$50,TRUE)</f>
        <v>1</v>
      </c>
      <c r="BG26" s="2" t="b">
        <f ca="1">IF(AU26=$E$50,CONCATENATE(VLOOKUP(AS26,$AM$34:$AQ$41,3,0),VLOOKUP($AS26,$AM$34:$AQ$41,5,0))&lt;&gt;$F$50,TRUE)</f>
        <v>1</v>
      </c>
      <c r="BH26" s="49" t="b">
        <f ca="1">IF($AT26=$E$53,CONCATENATE(VLOOKUP($AS26,$AM$34:$AQ$41,3,0),VLOOKUP($AS26,$AM$34:$AQ$41,5,0))=$F$53,TRUE)</f>
        <v>1</v>
      </c>
      <c r="BI26" s="2" t="b">
        <f ca="1">IF(AU26=$E$53,CONCATENATE(VLOOKUP(AS26,$AM$34:$AQ$41,3,0),VLOOKUP($AS26,$AM$34:$AQ$41,5,0))&lt;&gt;$F$53,TRUE)</f>
        <v>1</v>
      </c>
      <c r="BJ26" s="49" t="b">
        <f ca="1">IF($AT26=$E$54,CONCATENATE(VLOOKUP($AS26,$AM$34:$AQ$41,3,0),VLOOKUP($AS26,$AM$34:$AQ$41,5,0))=$F$54,TRUE)</f>
        <v>1</v>
      </c>
      <c r="BK26" s="2" t="b">
        <f ca="1">IF($AU26=$E$54,CONCATENATE(VLOOKUP($AS26,$AM$34:$AQ$41,3,0),VLOOKUP($AS26,$AM$34:$AQ$41,5,0))&lt;&gt;$F$54,TRUE)</f>
        <v>1</v>
      </c>
      <c r="BL26" s="49" t="b">
        <f ca="1">IF($AT26=$E$64,CONCATENATE(VLOOKUP($AS26,$AM$34:$AQ$41,3,0),VLOOKUP($AS26,$AM$34:$AQ$41,5,0))=$F$64,TRUE)</f>
        <v>1</v>
      </c>
      <c r="BM26" s="2" t="b">
        <f ca="1">IF($AU26=$E$64,CONCATENATE(VLOOKUP($AS26,$AM$34:$AQ$41,3,0),VLOOKUP($AS26,$AM$34:$AQ$41,5,0))&lt;&gt;$F$64,TRUE)</f>
        <v>1</v>
      </c>
      <c r="BN26" s="49" t="b">
        <f ca="1">IF($AT26=$E$65,CONCATENATE(VLOOKUP($AS26,$AM$34:$AQ$41,3,0),VLOOKUP($AS26,$AM$34:$AQ$41,5,0))=$F$65,TRUE)</f>
        <v>1</v>
      </c>
      <c r="BO26" s="14" t="b">
        <f ca="1">IF($AU26=$E$65,CONCATENATE(VLOOKUP($AS26,$AM$34:$AQ$41,3,0),VLOOKUP($AS26,$AM$34:$AQ$41,5,0))&lt;&gt;$F$65,TRUE)</f>
        <v>1</v>
      </c>
      <c r="BP26" s="2"/>
      <c r="BQ26" s="2" t="b">
        <f ca="1">IF($AV26="YES",$AT26=VLOOKUP($AS26,$AM$34:$AQ$41,5,0),TRUE)</f>
        <v>1</v>
      </c>
      <c r="BR26" s="14" t="b">
        <f ca="1">IF($AW26="YES",$AU26&lt;&gt;VLOOKUP($AS26,$AM$34:$AQ$41,5,0),TRUE)</f>
        <v>1</v>
      </c>
      <c r="BS26" s="14" t="b">
        <f ca="1">IF(AU26&lt;&gt;"Cylon Leader",TRUE,VLOOKUP($AS26,$AM$34:$AQ$41,5,0)&lt;&gt;"Cylon Leader")</f>
        <v>1</v>
      </c>
    </row>
    <row r="27" spans="2:71">
      <c r="B27" s="17"/>
      <c r="C27" s="8">
        <f t="shared" ca="1" si="11"/>
        <v>22</v>
      </c>
      <c r="D27" s="3">
        <v>22</v>
      </c>
      <c r="E27" t="s">
        <v>28</v>
      </c>
      <c r="F27" t="s">
        <v>9</v>
      </c>
      <c r="G27" t="s">
        <v>18</v>
      </c>
      <c r="H27" s="13" t="str">
        <f t="shared" ca="1" si="26"/>
        <v>Yes</v>
      </c>
      <c r="J27" s="9"/>
      <c r="K27" s="123" t="str">
        <f t="shared" ca="1" si="12"/>
        <v>Louis Hoshi</v>
      </c>
      <c r="L27" s="3">
        <f t="shared" ca="1" si="13"/>
        <v>22</v>
      </c>
      <c r="M27" t="str">
        <f t="shared" ca="1" si="25"/>
        <v>Louis Hoshi</v>
      </c>
      <c r="N27" t="str">
        <f t="shared" ca="1" si="1"/>
        <v>Mil</v>
      </c>
      <c r="O27" s="3">
        <f t="shared" ca="1" si="2"/>
        <v>0.85669952419844686</v>
      </c>
      <c r="P27" s="3"/>
      <c r="Q27" s="9"/>
      <c r="R27" s="3"/>
      <c r="S27" s="7"/>
      <c r="T27" s="7"/>
      <c r="U27" s="11"/>
      <c r="V27" s="11"/>
      <c r="W27" s="18"/>
      <c r="X27" s="18"/>
      <c r="Y27" s="18"/>
      <c r="Z27" s="18"/>
      <c r="AB27" s="17"/>
      <c r="AC27" s="11"/>
      <c r="AD27" s="7"/>
      <c r="AE27" s="11"/>
    </row>
    <row r="28" spans="2:71">
      <c r="B28" s="17"/>
      <c r="C28" s="8">
        <f t="shared" ca="1" si="11"/>
        <v>23</v>
      </c>
      <c r="D28" s="3">
        <v>23</v>
      </c>
      <c r="E28" t="s">
        <v>5</v>
      </c>
      <c r="F28" t="s">
        <v>10</v>
      </c>
      <c r="G28" t="s">
        <v>18</v>
      </c>
      <c r="H28" s="13" t="str">
        <f t="shared" ca="1" si="26"/>
        <v>Yes</v>
      </c>
      <c r="J28" s="9"/>
      <c r="K28" s="123" t="str">
        <f t="shared" ca="1" si="12"/>
        <v>Helo (Pil)</v>
      </c>
      <c r="L28" s="3">
        <f t="shared" ca="1" si="13"/>
        <v>23</v>
      </c>
      <c r="M28" t="str">
        <f t="shared" ca="1" si="25"/>
        <v>Helo</v>
      </c>
      <c r="N28" t="str">
        <f t="shared" ca="1" si="1"/>
        <v>Pil</v>
      </c>
      <c r="O28" s="3">
        <f t="shared" ca="1" si="2"/>
        <v>0.84871111718494885</v>
      </c>
      <c r="P28" s="3"/>
      <c r="Q28" s="9"/>
      <c r="R28" s="3"/>
      <c r="S28" s="7"/>
      <c r="T28" s="7"/>
      <c r="U28" s="11"/>
      <c r="V28" s="11"/>
      <c r="W28" s="18"/>
      <c r="X28" s="18"/>
      <c r="Y28" s="18"/>
      <c r="Z28" s="18"/>
      <c r="AB28" s="17"/>
      <c r="AC28" s="11"/>
      <c r="AD28" s="7"/>
      <c r="AE28" s="11"/>
    </row>
    <row r="29" spans="2:71" ht="15.75" thickBot="1">
      <c r="B29" s="17"/>
      <c r="C29" s="8">
        <f t="shared" ca="1" si="11"/>
        <v>24</v>
      </c>
      <c r="D29" s="3">
        <v>24</v>
      </c>
      <c r="E29" t="s">
        <v>29</v>
      </c>
      <c r="F29" t="s">
        <v>10</v>
      </c>
      <c r="G29" t="s">
        <v>18</v>
      </c>
      <c r="H29" s="13" t="str">
        <f t="shared" ca="1" si="26"/>
        <v>Yes</v>
      </c>
      <c r="J29" s="9"/>
      <c r="K29" s="123" t="str">
        <f t="shared" ca="1" si="12"/>
        <v>Hotdog</v>
      </c>
      <c r="L29" s="3">
        <f t="shared" ca="1" si="13"/>
        <v>24</v>
      </c>
      <c r="M29" t="str">
        <f t="shared" ca="1" si="25"/>
        <v>Hotdog</v>
      </c>
      <c r="N29" t="str">
        <f t="shared" ca="1" si="1"/>
        <v>Pil</v>
      </c>
      <c r="O29" s="3">
        <f t="shared" ca="1" si="2"/>
        <v>0.81740966805074233</v>
      </c>
      <c r="P29" s="3"/>
      <c r="Q29" s="9"/>
      <c r="R29" s="3"/>
      <c r="S29" s="7"/>
      <c r="T29" s="7"/>
      <c r="U29" s="11"/>
      <c r="V29" s="11"/>
      <c r="W29" s="18"/>
      <c r="X29" s="18"/>
      <c r="Y29" s="18"/>
      <c r="Z29" s="18"/>
      <c r="AB29" s="17"/>
      <c r="AC29" s="11"/>
      <c r="AD29" s="7"/>
      <c r="AE29" s="11"/>
    </row>
    <row r="30" spans="2:71">
      <c r="B30" s="17"/>
      <c r="C30" s="8">
        <f t="shared" ca="1" si="11"/>
        <v>25</v>
      </c>
      <c r="D30" s="3">
        <v>25</v>
      </c>
      <c r="E30" t="s">
        <v>25</v>
      </c>
      <c r="F30" t="s">
        <v>11</v>
      </c>
      <c r="G30" t="s">
        <v>18</v>
      </c>
      <c r="H30" s="13" t="str">
        <f t="shared" ca="1" si="26"/>
        <v>Yes</v>
      </c>
      <c r="J30" s="9"/>
      <c r="K30" s="123" t="str">
        <f t="shared" ca="1" si="12"/>
        <v>Doc Cottle</v>
      </c>
      <c r="L30" s="3">
        <f t="shared" ca="1" si="13"/>
        <v>25</v>
      </c>
      <c r="M30" t="str">
        <f t="shared" ca="1" si="25"/>
        <v>Doc Cottle</v>
      </c>
      <c r="N30" t="str">
        <f t="shared" ca="1" si="1"/>
        <v>Sup</v>
      </c>
      <c r="O30" s="3">
        <f t="shared" ca="1" si="2"/>
        <v>0.43289746294953069</v>
      </c>
      <c r="P30" s="3"/>
      <c r="Q30" s="9"/>
      <c r="R30" s="3"/>
      <c r="S30" s="7" t="str">
        <f t="shared" ref="S30:S31" ca="1" si="31">IF(L30&gt;Num_Players,"",RANK(O30,Rand_Nos))</f>
        <v/>
      </c>
      <c r="T30" s="7" t="str">
        <f t="shared" ref="T30:T31" ca="1" si="32">IF(AND(X30&lt;&gt;99,X30=MIN($X$6:$X$11)),"President",IF(AND(Y30&lt;&gt;99,Y30=MIN($Y$6:$Y$11)),"Admiral",IF(AND(Z30&lt;&gt;99,Z30=MIN($Z$6:$Z$11)),IF(Exo_Choose="Yes","CAG",""),"")))</f>
        <v/>
      </c>
      <c r="U30" s="11" t="str">
        <f t="shared" ca="1" si="5"/>
        <v/>
      </c>
      <c r="V30" s="11" t="str">
        <f t="shared" ca="1" si="6"/>
        <v/>
      </c>
      <c r="W30" s="18" t="str">
        <f ca="1">IFERROR(VLOOKUP(Calcs!V30,Roles,2),"")</f>
        <v/>
      </c>
      <c r="X30" s="18"/>
      <c r="Y30" s="18"/>
      <c r="Z30" s="18"/>
      <c r="AB30" s="17"/>
      <c r="AC30" s="11"/>
      <c r="AD30" s="7"/>
      <c r="AE30" s="11"/>
      <c r="AK30" s="109"/>
      <c r="AL30" s="125"/>
      <c r="AM30" s="125"/>
      <c r="AN30" s="126">
        <v>2</v>
      </c>
      <c r="AO30" s="126">
        <v>3</v>
      </c>
      <c r="AP30" s="126"/>
      <c r="AQ30" s="126">
        <v>5</v>
      </c>
      <c r="AR30" s="110"/>
    </row>
    <row r="31" spans="2:71" ht="23.25">
      <c r="B31" s="17"/>
      <c r="C31" s="8">
        <f t="shared" ca="1" si="11"/>
        <v>26</v>
      </c>
      <c r="D31" s="3">
        <v>26</v>
      </c>
      <c r="E31" t="s">
        <v>1</v>
      </c>
      <c r="F31" t="s">
        <v>11</v>
      </c>
      <c r="G31" t="s">
        <v>18</v>
      </c>
      <c r="H31" s="13" t="str">
        <f t="shared" ca="1" si="26"/>
        <v>Yes</v>
      </c>
      <c r="J31" s="9"/>
      <c r="K31" s="123" t="str">
        <f t="shared" ca="1" si="12"/>
        <v>Gaius Baltar (Sup)</v>
      </c>
      <c r="L31" s="7">
        <f t="shared" ca="1" si="13"/>
        <v>26</v>
      </c>
      <c r="M31" s="11" t="str">
        <f t="shared" ca="1" si="25"/>
        <v>Gaius Baltar</v>
      </c>
      <c r="N31" s="11" t="str">
        <f t="shared" ca="1" si="1"/>
        <v>Sup</v>
      </c>
      <c r="O31" s="7">
        <f t="shared" ca="1" si="2"/>
        <v>7.1285004727877688E-2</v>
      </c>
      <c r="P31" s="7"/>
      <c r="Q31" s="10"/>
      <c r="R31" s="7"/>
      <c r="S31" s="7" t="str">
        <f t="shared" ca="1" si="31"/>
        <v/>
      </c>
      <c r="T31" s="7" t="str">
        <f t="shared" ca="1" si="32"/>
        <v/>
      </c>
      <c r="U31" s="11" t="str">
        <f t="shared" ca="1" si="5"/>
        <v/>
      </c>
      <c r="V31" s="11" t="str">
        <f t="shared" ca="1" si="6"/>
        <v/>
      </c>
      <c r="W31" s="18" t="str">
        <f ca="1">IFERROR(VLOOKUP(Calcs!V31,Roles,2),"")</f>
        <v/>
      </c>
      <c r="X31" s="18"/>
      <c r="Y31" s="18"/>
      <c r="Z31" s="18"/>
      <c r="AB31" s="17"/>
      <c r="AC31" s="11"/>
      <c r="AD31" s="7"/>
      <c r="AE31" s="11"/>
      <c r="AK31" s="111"/>
      <c r="AL31" s="112" t="s">
        <v>115</v>
      </c>
      <c r="AM31" s="113"/>
      <c r="AN31" s="113"/>
      <c r="AO31" s="113"/>
      <c r="AP31" s="113"/>
      <c r="AQ31" s="113"/>
      <c r="AR31" s="114"/>
    </row>
    <row r="32" spans="2:71" ht="3" customHeight="1" thickBot="1">
      <c r="B32" s="17"/>
      <c r="C32" s="17"/>
      <c r="D32" s="9"/>
      <c r="E32" s="17"/>
      <c r="F32" s="17"/>
      <c r="G32" s="17"/>
      <c r="H32" s="9"/>
      <c r="I32" s="9"/>
      <c r="J32" s="9"/>
      <c r="K32" s="9"/>
      <c r="L32" s="23"/>
      <c r="M32" s="23"/>
      <c r="N32" s="23"/>
      <c r="O32" s="23"/>
      <c r="P32" s="17"/>
      <c r="Q32" s="17"/>
      <c r="R32" s="17"/>
      <c r="S32" s="17"/>
      <c r="T32" s="17"/>
      <c r="U32" s="17"/>
      <c r="V32" s="17"/>
      <c r="W32" s="24"/>
      <c r="X32" s="24"/>
      <c r="Y32" s="24"/>
      <c r="Z32" s="24"/>
      <c r="AA32" s="17"/>
      <c r="AB32" s="17"/>
      <c r="AK32" s="111"/>
      <c r="AL32" s="113"/>
      <c r="AM32" s="113"/>
      <c r="AN32" s="113"/>
      <c r="AO32" s="113"/>
      <c r="AP32" s="113"/>
      <c r="AQ32" s="113"/>
      <c r="AR32" s="114"/>
    </row>
    <row r="33" spans="3:44" ht="15.75" thickBot="1">
      <c r="AK33" s="111"/>
      <c r="AL33" s="119" t="s">
        <v>46</v>
      </c>
      <c r="AM33" s="120" t="s">
        <v>69</v>
      </c>
      <c r="AN33" s="120" t="s">
        <v>65</v>
      </c>
      <c r="AO33" s="120" t="s">
        <v>47</v>
      </c>
      <c r="AP33" s="120"/>
      <c r="AQ33" s="121" t="s">
        <v>48</v>
      </c>
      <c r="AR33" s="114"/>
    </row>
    <row r="34" spans="3:44" ht="23.25">
      <c r="C34" s="127" t="s">
        <v>130</v>
      </c>
      <c r="D34" s="4" t="s">
        <v>131</v>
      </c>
      <c r="K34" s="130">
        <v>0</v>
      </c>
      <c r="L34" s="131" t="s">
        <v>30</v>
      </c>
      <c r="M34" s="132" t="s">
        <v>108</v>
      </c>
      <c r="N34" s="131"/>
      <c r="O34" s="139">
        <f ca="1">COUNTIF(O35:O41,"Yes")</f>
        <v>7</v>
      </c>
      <c r="S34" s="154" t="s">
        <v>109</v>
      </c>
      <c r="T34" s="143"/>
      <c r="U34" s="163" t="s">
        <v>37</v>
      </c>
      <c r="V34" s="11"/>
      <c r="W34" s="162"/>
      <c r="X34" s="18"/>
      <c r="Y34" s="18"/>
      <c r="Z34" s="18"/>
      <c r="AK34" s="111"/>
      <c r="AL34" s="115">
        <v>1</v>
      </c>
      <c r="AM34" s="115" t="str">
        <f ca="1">IFERROR(VLOOKUP(AL34,$AG$20:$AI$26,3,0),"")</f>
        <v>Игорь</v>
      </c>
      <c r="AN34" s="115" t="str">
        <f ca="1">IF($AM34="","",IFERROR(VLOOKUP($AM34,$AM$20:$AQ$25,AN$30,0),""))</f>
        <v/>
      </c>
      <c r="AO34" s="115" t="str">
        <f ca="1">IF($AM34="","",IFERROR(VLOOKUP($AM34,$AM$20:$AQ$25,AO$30,0),$T$21))</f>
        <v>Hotdog</v>
      </c>
      <c r="AP34" s="115"/>
      <c r="AQ34" s="115" t="str">
        <f ca="1">IF(ISNUMBER($AL34),IFERROR(VLOOKUP($AM34,$AM$20:$AQ$25,AQ$30,0),"Cylon Leader"),"")</f>
        <v>Pilot</v>
      </c>
      <c r="AR34" s="114"/>
    </row>
    <row r="35" spans="3:44" ht="14.25" customHeight="1">
      <c r="C35" s="128">
        <f t="shared" ref="C35:C67" ca="1" si="33">COUNTIF(Musts,E35)</f>
        <v>0</v>
      </c>
      <c r="D35" s="4"/>
      <c r="E35" t="s">
        <v>53</v>
      </c>
      <c r="K35" s="133">
        <f ca="1">IF(O35="Yes",K34+1,K34)</f>
        <v>1</v>
      </c>
      <c r="L35" s="134">
        <v>1</v>
      </c>
      <c r="M35" s="135" t="s">
        <v>102</v>
      </c>
      <c r="N35" s="134" t="s">
        <v>16</v>
      </c>
      <c r="O35" s="140" t="str">
        <f ca="1">IF(Cylon_Leader="No","",Peg_Choose)</f>
        <v>Yes</v>
      </c>
      <c r="S35" s="146">
        <f ca="1">IF(Cylon_Leader="Yes",1,"")</f>
        <v>1</v>
      </c>
      <c r="T35" s="147" t="str">
        <f ca="1">IFERROR(VLOOKUP($S35,$K$35:$O$41,3,FALSE),"")</f>
        <v>"Caprica" Six</v>
      </c>
      <c r="U35" s="164">
        <f ca="1">IF(ISNUMBER(S35),RAND(),"")</f>
        <v>0.15747810384463001</v>
      </c>
      <c r="V35" s="11"/>
      <c r="W35" s="18"/>
      <c r="X35" s="18"/>
      <c r="Y35" s="18"/>
      <c r="Z35" s="18"/>
      <c r="AK35" s="111"/>
      <c r="AL35" s="115">
        <f t="shared" ref="AL35:AL41" ca="1" si="34">IFERROR(IF(AL34+1&gt;Num_Players,"",AL34+1),"")</f>
        <v>2</v>
      </c>
      <c r="AM35" s="115" t="str">
        <f t="shared" ref="AM35:AM41" ca="1" si="35">IFERROR(VLOOKUP(AL35,$AG$20:$AI$26,3,0),"")</f>
        <v>Вова</v>
      </c>
      <c r="AN35" s="115" t="str">
        <f t="shared" ref="AN35:AN41" ca="1" si="36">IF($AM35="","",IFERROR(VLOOKUP($AM35,$AM$20:$AQ$25,AN$30,0),""))</f>
        <v/>
      </c>
      <c r="AO35" s="115" t="str">
        <f t="shared" ref="AO35:AO41" ca="1" si="37">IF($AM35="","",IFERROR(VLOOKUP($AM35,$AM$20:$AQ$25,AO$30,0),$T$21))</f>
        <v>Simon O'Neill</v>
      </c>
      <c r="AP35" s="115"/>
      <c r="AQ35" s="115" t="str">
        <f t="shared" ref="AQ35:AQ41" ca="1" si="38">IF(ISNUMBER($AL35),IFERROR(VLOOKUP($AM35,$AM$20:$AQ$25,AQ$30,0),"Cylon Leader"),"")</f>
        <v>Cylon Leader</v>
      </c>
      <c r="AR35" s="114"/>
    </row>
    <row r="36" spans="3:44" ht="14.25" customHeight="1">
      <c r="C36" s="128">
        <f t="shared" ca="1" si="33"/>
        <v>0</v>
      </c>
      <c r="D36" s="4"/>
      <c r="E36" t="s">
        <v>54</v>
      </c>
      <c r="K36" s="133">
        <f ca="1">IF(O36="Yes",K35+1,K35)</f>
        <v>2</v>
      </c>
      <c r="L36" s="134">
        <v>2</v>
      </c>
      <c r="M36" s="135" t="s">
        <v>103</v>
      </c>
      <c r="N36" s="134" t="s">
        <v>16</v>
      </c>
      <c r="O36" s="140" t="str">
        <f ca="1">IF(Cylon_Leader="No","",Peg_Choose)</f>
        <v>Yes</v>
      </c>
      <c r="S36" s="146">
        <f ca="1">IFERROR(IF(S35+1&gt;$O$34,"",S35+1),"")</f>
        <v>2</v>
      </c>
      <c r="T36" s="147" t="str">
        <f t="shared" ref="T36:T41" ca="1" si="39">IFERROR(VLOOKUP($S36,$K$35:$O$41,3,FALSE),"")</f>
        <v>Cavil</v>
      </c>
      <c r="U36" s="164">
        <f t="shared" ref="U36:U41" ca="1" si="40">IF(ISNUMBER(S36),RAND(),"")</f>
        <v>0.43469560713428101</v>
      </c>
      <c r="V36" s="11"/>
      <c r="W36" s="18"/>
      <c r="X36" s="18"/>
      <c r="Y36" s="18"/>
      <c r="Z36" s="18"/>
      <c r="AK36" s="111"/>
      <c r="AL36" s="115">
        <f t="shared" ca="1" si="34"/>
        <v>3</v>
      </c>
      <c r="AM36" s="115" t="str">
        <f t="shared" ca="1" si="35"/>
        <v>Ваня</v>
      </c>
      <c r="AN36" s="115" t="str">
        <f t="shared" ca="1" si="36"/>
        <v>CAG</v>
      </c>
      <c r="AO36" s="115" t="str">
        <f t="shared" ca="1" si="37"/>
        <v>Helo</v>
      </c>
      <c r="AP36" s="115"/>
      <c r="AQ36" s="115" t="str">
        <f t="shared" ca="1" si="38"/>
        <v>Pilot</v>
      </c>
      <c r="AR36" s="114"/>
    </row>
    <row r="37" spans="3:44" ht="14.25" customHeight="1">
      <c r="C37" s="128">
        <f t="shared" ca="1" si="33"/>
        <v>0</v>
      </c>
      <c r="D37" s="4"/>
      <c r="E37" t="s">
        <v>55</v>
      </c>
      <c r="K37" s="133">
        <f t="shared" ref="K37:K41" ca="1" si="41">IF(O37="Yes",K36+1,K36)</f>
        <v>3</v>
      </c>
      <c r="L37" s="43">
        <v>3</v>
      </c>
      <c r="M37" s="129" t="s">
        <v>105</v>
      </c>
      <c r="N37" s="43" t="s">
        <v>16</v>
      </c>
      <c r="O37" s="140" t="str">
        <f ca="1">IF(Cylon_Leader="No","",Peg_Choose)</f>
        <v>Yes</v>
      </c>
      <c r="S37" s="146">
        <f t="shared" ref="S37:S41" ca="1" si="42">IFERROR(IF(S36+1&gt;$O$34,"",S36+1),"")</f>
        <v>3</v>
      </c>
      <c r="T37" s="147" t="str">
        <f t="shared" ca="1" si="39"/>
        <v>Leoben Conoy</v>
      </c>
      <c r="U37" s="164">
        <f t="shared" ca="1" si="40"/>
        <v>0.22785552540688281</v>
      </c>
      <c r="V37" s="11"/>
      <c r="W37" s="18"/>
      <c r="X37" s="18"/>
      <c r="Y37" s="18"/>
      <c r="Z37" s="18"/>
      <c r="AK37" s="111"/>
      <c r="AL37" s="115">
        <f t="shared" ca="1" si="34"/>
        <v>4</v>
      </c>
      <c r="AM37" s="115" t="str">
        <f t="shared" ca="1" si="35"/>
        <v>Настя</v>
      </c>
      <c r="AN37" s="115" t="str">
        <f t="shared" ca="1" si="36"/>
        <v>President</v>
      </c>
      <c r="AO37" s="115" t="str">
        <f t="shared" ca="1" si="37"/>
        <v>Ellen Tigh</v>
      </c>
      <c r="AP37" s="115"/>
      <c r="AQ37" s="115" t="str">
        <f t="shared" ca="1" si="38"/>
        <v>Political</v>
      </c>
      <c r="AR37" s="114"/>
    </row>
    <row r="38" spans="3:44" ht="14.25" customHeight="1">
      <c r="C38" s="128">
        <f t="shared" ca="1" si="33"/>
        <v>0</v>
      </c>
      <c r="D38" s="4"/>
      <c r="E38" t="s">
        <v>56</v>
      </c>
      <c r="K38" s="133">
        <f t="shared" ca="1" si="41"/>
        <v>4</v>
      </c>
      <c r="L38" s="134">
        <v>4</v>
      </c>
      <c r="M38" s="135" t="s">
        <v>101</v>
      </c>
      <c r="N38" s="134" t="s">
        <v>18</v>
      </c>
      <c r="O38" s="140" t="str">
        <f ca="1">IF(Cylon_Leader="No","",Day_Choose)</f>
        <v>Yes</v>
      </c>
      <c r="S38" s="146">
        <f t="shared" ca="1" si="42"/>
        <v>4</v>
      </c>
      <c r="T38" s="147" t="str">
        <f t="shared" ca="1" si="39"/>
        <v>Aaron Doral</v>
      </c>
      <c r="U38" s="164">
        <f t="shared" ca="1" si="40"/>
        <v>0.1551426229847066</v>
      </c>
      <c r="V38" s="11"/>
      <c r="W38" s="18"/>
      <c r="X38" s="18"/>
      <c r="Y38" s="18"/>
      <c r="Z38" s="18"/>
      <c r="AK38" s="111"/>
      <c r="AL38" s="115">
        <f t="shared" ca="1" si="34"/>
        <v>5</v>
      </c>
      <c r="AM38" s="115" t="str">
        <f t="shared" ca="1" si="35"/>
        <v>Алёна</v>
      </c>
      <c r="AN38" s="115" t="str">
        <f t="shared" ca="1" si="36"/>
        <v/>
      </c>
      <c r="AO38" s="115" t="str">
        <f t="shared" ca="1" si="37"/>
        <v>Callandra Tyrol</v>
      </c>
      <c r="AP38" s="115"/>
      <c r="AQ38" s="115" t="str">
        <f t="shared" ca="1" si="38"/>
        <v>Support</v>
      </c>
      <c r="AR38" s="114"/>
    </row>
    <row r="39" spans="3:44" ht="14.25" customHeight="1">
      <c r="C39" s="128">
        <f t="shared" ca="1" si="33"/>
        <v>0</v>
      </c>
      <c r="D39" s="4"/>
      <c r="E39" s="38" t="s">
        <v>95</v>
      </c>
      <c r="K39" s="133">
        <f t="shared" ca="1" si="41"/>
        <v>5</v>
      </c>
      <c r="L39" s="134">
        <v>5</v>
      </c>
      <c r="M39" s="135" t="s">
        <v>104</v>
      </c>
      <c r="N39" s="134" t="s">
        <v>18</v>
      </c>
      <c r="O39" s="140" t="str">
        <f ca="1">IF(Cylon_Leader="No","",Day_Choose)</f>
        <v>Yes</v>
      </c>
      <c r="S39" s="146">
        <f t="shared" ca="1" si="42"/>
        <v>5</v>
      </c>
      <c r="T39" s="147" t="str">
        <f t="shared" ca="1" si="39"/>
        <v>D'Anna Biers</v>
      </c>
      <c r="U39" s="164">
        <f t="shared" ca="1" si="40"/>
        <v>0.84187309905485508</v>
      </c>
      <c r="V39" s="11"/>
      <c r="W39" s="18"/>
      <c r="X39" s="18"/>
      <c r="Y39" s="18"/>
      <c r="Z39" s="18"/>
      <c r="AK39" s="111"/>
      <c r="AL39" s="115"/>
      <c r="AM39" s="115"/>
      <c r="AN39" s="115"/>
      <c r="AO39" s="115"/>
      <c r="AP39" s="115"/>
      <c r="AQ39" s="115"/>
      <c r="AR39" s="114"/>
    </row>
    <row r="40" spans="3:44" ht="14.25" customHeight="1">
      <c r="C40" s="128">
        <f t="shared" ca="1" si="33"/>
        <v>0</v>
      </c>
      <c r="D40" s="4"/>
      <c r="E40" s="38" t="s">
        <v>107</v>
      </c>
      <c r="K40" s="133">
        <f t="shared" ca="1" si="41"/>
        <v>6</v>
      </c>
      <c r="L40" s="134">
        <v>6</v>
      </c>
      <c r="M40" s="135" t="s">
        <v>114</v>
      </c>
      <c r="N40" s="134" t="s">
        <v>18</v>
      </c>
      <c r="O40" s="140" t="str">
        <f ca="1">IF(Cylon_Leader="No","",Day_Choose)</f>
        <v>Yes</v>
      </c>
      <c r="S40" s="146">
        <f t="shared" ca="1" si="42"/>
        <v>6</v>
      </c>
      <c r="T40" s="147" t="str">
        <f t="shared" ca="1" si="39"/>
        <v>Athena</v>
      </c>
      <c r="U40" s="164">
        <f t="shared" ca="1" si="40"/>
        <v>5.6706059040155132E-2</v>
      </c>
      <c r="V40" s="11"/>
      <c r="W40" s="18"/>
      <c r="X40" s="18"/>
      <c r="Y40" s="18"/>
      <c r="Z40" s="18"/>
      <c r="AK40" s="111"/>
      <c r="AL40" s="115">
        <f ca="1">IFERROR(IF(AL38+1&gt;Num_Players,"",AL38+1),"")</f>
        <v>6</v>
      </c>
      <c r="AM40" s="115" t="str">
        <f t="shared" ca="1" si="35"/>
        <v>Женя</v>
      </c>
      <c r="AN40" s="115" t="str">
        <f t="shared" ca="1" si="36"/>
        <v/>
      </c>
      <c r="AO40" s="115" t="str">
        <f t="shared" ca="1" si="37"/>
        <v>Tom Zarek</v>
      </c>
      <c r="AP40" s="115"/>
      <c r="AQ40" s="115" t="str">
        <f t="shared" ca="1" si="38"/>
        <v>Military</v>
      </c>
      <c r="AR40" s="114"/>
    </row>
    <row r="41" spans="3:44" ht="14.25" customHeight="1" thickBot="1">
      <c r="C41" s="128">
        <f t="shared" ca="1" si="33"/>
        <v>0</v>
      </c>
      <c r="D41" s="4"/>
      <c r="E41" s="38" t="s">
        <v>95</v>
      </c>
      <c r="K41" s="136">
        <f t="shared" ca="1" si="41"/>
        <v>7</v>
      </c>
      <c r="L41" s="137">
        <v>7</v>
      </c>
      <c r="M41" s="138" t="s">
        <v>106</v>
      </c>
      <c r="N41" s="137" t="s">
        <v>18</v>
      </c>
      <c r="O41" s="141" t="str">
        <f ca="1">IF(Cylon_Leader="No","",Day_Choose)</f>
        <v>Yes</v>
      </c>
      <c r="S41" s="149">
        <f t="shared" ca="1" si="42"/>
        <v>7</v>
      </c>
      <c r="T41" s="150" t="str">
        <f t="shared" ca="1" si="39"/>
        <v>Simon O'Neill</v>
      </c>
      <c r="U41" s="165">
        <f t="shared" ca="1" si="40"/>
        <v>0.88055239041159206</v>
      </c>
      <c r="V41" s="11"/>
      <c r="W41" s="18"/>
      <c r="X41" s="18"/>
      <c r="Y41" s="18"/>
      <c r="Z41" s="18"/>
      <c r="AK41" s="116"/>
      <c r="AL41" s="117">
        <f t="shared" ca="1" si="34"/>
        <v>7</v>
      </c>
      <c r="AM41" s="117" t="str">
        <f t="shared" ca="1" si="35"/>
        <v>Таня</v>
      </c>
      <c r="AN41" s="117" t="str">
        <f t="shared" ca="1" si="36"/>
        <v>Admiral</v>
      </c>
      <c r="AO41" s="117" t="str">
        <f t="shared" ca="1" si="37"/>
        <v>Louis Hoshi</v>
      </c>
      <c r="AP41" s="117"/>
      <c r="AQ41" s="117" t="str">
        <f t="shared" ca="1" si="38"/>
        <v>Military</v>
      </c>
      <c r="AR41" s="118"/>
    </row>
    <row r="42" spans="3:44" ht="14.25" customHeight="1" thickBot="1">
      <c r="C42" s="128">
        <f t="shared" ca="1" si="33"/>
        <v>0</v>
      </c>
      <c r="D42" s="4"/>
      <c r="E42" t="s">
        <v>52</v>
      </c>
    </row>
    <row r="43" spans="3:44" ht="14.25" customHeight="1">
      <c r="C43" s="128">
        <f t="shared" ca="1" si="33"/>
        <v>0</v>
      </c>
      <c r="D43" s="4"/>
      <c r="E43" t="s">
        <v>87</v>
      </c>
      <c r="K43" s="142"/>
      <c r="L43" s="143"/>
      <c r="M43" s="143"/>
      <c r="N43" s="143"/>
      <c r="O43" s="143"/>
      <c r="P43" s="144"/>
      <c r="Q43" s="144"/>
      <c r="R43" s="145"/>
    </row>
    <row r="44" spans="3:44" ht="23.25">
      <c r="C44" s="128">
        <f t="shared" ca="1" si="33"/>
        <v>0</v>
      </c>
      <c r="D44" s="4"/>
      <c r="E44" t="s">
        <v>7</v>
      </c>
      <c r="K44" s="157"/>
      <c r="L44" s="45" t="s">
        <v>117</v>
      </c>
      <c r="M44" s="1"/>
      <c r="N44" s="1"/>
      <c r="O44" s="108" t="str">
        <f ca="1">IF(COUNTIF(L46:L63,TRUE)=0,"OK","INVALID")</f>
        <v>OK</v>
      </c>
      <c r="P44" s="18"/>
      <c r="Q44" s="18"/>
      <c r="R44" s="148"/>
    </row>
    <row r="45" spans="3:44" ht="15" customHeight="1">
      <c r="C45" s="128">
        <f t="shared" ca="1" si="33"/>
        <v>0</v>
      </c>
      <c r="D45" s="4"/>
      <c r="E45" t="s">
        <v>51</v>
      </c>
      <c r="K45" s="157"/>
      <c r="L45" s="11"/>
      <c r="M45" s="11"/>
      <c r="N45" s="11"/>
      <c r="O45" s="11"/>
      <c r="P45" s="11"/>
      <c r="Q45" s="11"/>
      <c r="R45" s="148"/>
    </row>
    <row r="46" spans="3:44" ht="14.25" customHeight="1">
      <c r="C46" s="128">
        <f t="shared" ca="1" si="33"/>
        <v>0</v>
      </c>
      <c r="D46" s="4"/>
      <c r="E46" t="s">
        <v>25</v>
      </c>
      <c r="K46" s="157"/>
      <c r="L46" s="7" t="b">
        <f ca="1">AND(Cylon_Leader="Yes",Num_Players=3)</f>
        <v>0</v>
      </c>
      <c r="M46" s="11" t="s">
        <v>122</v>
      </c>
      <c r="N46" s="11"/>
      <c r="O46" s="11"/>
      <c r="P46" s="11"/>
      <c r="Q46" s="11"/>
      <c r="R46" s="148"/>
    </row>
    <row r="47" spans="3:44" ht="14.25" customHeight="1">
      <c r="C47" s="128">
        <f t="shared" ca="1" si="33"/>
        <v>0</v>
      </c>
      <c r="D47" s="4"/>
      <c r="E47" t="s">
        <v>21</v>
      </c>
      <c r="K47" s="157"/>
      <c r="L47" s="7" t="b">
        <f ca="1">AND(Cylon_Leader="No",Num_Players=7)</f>
        <v>0</v>
      </c>
      <c r="M47" s="11" t="s">
        <v>121</v>
      </c>
      <c r="N47" s="11"/>
      <c r="O47" s="11"/>
      <c r="P47" s="18"/>
      <c r="Q47" s="18"/>
      <c r="R47" s="148"/>
    </row>
    <row r="48" spans="3:44" ht="14.25" customHeight="1">
      <c r="C48" s="128">
        <f t="shared" ca="1" si="33"/>
        <v>0</v>
      </c>
      <c r="D48" s="4"/>
      <c r="E48" t="s">
        <v>24</v>
      </c>
      <c r="K48" s="157"/>
      <c r="L48" s="7" t="b">
        <f ca="1">MAX($C$40:$C$67)&gt;1</f>
        <v>0</v>
      </c>
      <c r="M48" s="11" t="s">
        <v>124</v>
      </c>
      <c r="N48" s="11"/>
      <c r="O48" s="11"/>
      <c r="P48" s="18"/>
      <c r="Q48" s="18"/>
      <c r="R48" s="148"/>
    </row>
    <row r="49" spans="3:18" ht="14.25" customHeight="1">
      <c r="C49" s="128">
        <f t="shared" ca="1" si="33"/>
        <v>0</v>
      </c>
      <c r="D49" s="4"/>
      <c r="E49" t="s">
        <v>81</v>
      </c>
      <c r="F49" s="19" t="s">
        <v>88</v>
      </c>
      <c r="K49" s="157"/>
      <c r="L49" s="11" t="b">
        <f ca="1">AND(Cylon_Leader="No",COUNTIF(Musts,"Cylon Leader"))</f>
        <v>0</v>
      </c>
      <c r="M49" s="11" t="s">
        <v>134</v>
      </c>
      <c r="N49" s="11"/>
      <c r="O49" s="11"/>
      <c r="P49" s="11"/>
      <c r="Q49" s="11"/>
      <c r="R49" s="158"/>
    </row>
    <row r="50" spans="3:18">
      <c r="C50" s="128">
        <f t="shared" ca="1" si="33"/>
        <v>0</v>
      </c>
      <c r="E50" t="s">
        <v>82</v>
      </c>
      <c r="F50" s="19" t="s">
        <v>89</v>
      </c>
      <c r="K50" s="157"/>
      <c r="L50" s="7" t="b">
        <f ca="1">IF(OR(AT20="Political", AT20="Military", AT20="Pilot",AT20="Support",AT20="Apollo",AT20=""),FALSE,IF(AT20="Cylon Leader",Cylon_Leader="No",IF(AT20="Lee Adama",Day_Choose="No",ISERROR(MATCH(AT20,$K$6:$K$31,0)))))</f>
        <v>0</v>
      </c>
      <c r="M50" s="11" t="s">
        <v>128</v>
      </c>
      <c r="N50" s="11"/>
      <c r="O50" s="11"/>
      <c r="P50" s="18"/>
      <c r="Q50" s="18"/>
      <c r="R50" s="148"/>
    </row>
    <row r="51" spans="3:18">
      <c r="C51" s="128">
        <f t="shared" ca="1" si="33"/>
        <v>0</v>
      </c>
      <c r="E51" t="s">
        <v>23</v>
      </c>
      <c r="F51" s="19"/>
      <c r="K51" s="157"/>
      <c r="L51" s="7" t="b">
        <f ca="1">IF(OR(AT21="Political", AT21="Military", AT21="Pilot",AT21="Support",AT21="Apollo",AT21=""),FALSE,IF(AT21="Cylon Leader",Cylon_Leader="No",IF(AT21="Lee Adama",Day_Choose="No",ISERROR(MATCH(AT21,$K$6:$K$31,0)))))</f>
        <v>0</v>
      </c>
      <c r="M51" s="11" t="s">
        <v>128</v>
      </c>
      <c r="N51" s="11"/>
      <c r="O51" s="11"/>
      <c r="P51" s="18"/>
      <c r="Q51" s="18"/>
      <c r="R51" s="148"/>
    </row>
    <row r="52" spans="3:18">
      <c r="C52" s="128">
        <f t="shared" ca="1" si="33"/>
        <v>0</v>
      </c>
      <c r="E52" t="s">
        <v>20</v>
      </c>
      <c r="F52" s="19"/>
      <c r="K52" s="157"/>
      <c r="L52" s="7" t="b">
        <f ca="1">IF(OR(AT22="Political", AT22="Military", AT22="Pilot",AT22="Support",AT22="Apollo",AT22=""),FALSE,IF(AT22="Cylon Leader",Cylon_Leader="No",IF(AT22="Lee Adama",Day_Choose="No",ISERROR(MATCH(AT22,$K$6:$K$31,0)))))</f>
        <v>0</v>
      </c>
      <c r="M52" s="11" t="s">
        <v>128</v>
      </c>
      <c r="N52" s="11"/>
      <c r="O52" s="11"/>
      <c r="P52" s="18"/>
      <c r="Q52" s="18"/>
      <c r="R52" s="148"/>
    </row>
    <row r="53" spans="3:18">
      <c r="C53" s="128">
        <f t="shared" ca="1" si="33"/>
        <v>0</v>
      </c>
      <c r="E53" t="s">
        <v>83</v>
      </c>
      <c r="F53" s="19" t="s">
        <v>92</v>
      </c>
      <c r="K53" s="157"/>
      <c r="L53" s="7" t="b">
        <f ca="1">IF(OR(AT23="Political", AT23="Military", AT23="Pilot",AT23="Support",AT23="Apollo",AT23=""),FALSE,IF(AT23="Cylon Leader",Cylon_Leader="No",IF(AT23="Lee Adama",Day_Choose="No",ISERROR(MATCH(AT23,$K$6:$K$31,0)))))</f>
        <v>0</v>
      </c>
      <c r="M53" s="11" t="s">
        <v>128</v>
      </c>
      <c r="N53" s="11"/>
      <c r="O53" s="11"/>
      <c r="P53" s="18"/>
      <c r="Q53" s="18"/>
      <c r="R53" s="148"/>
    </row>
    <row r="54" spans="3:18">
      <c r="C54" s="128">
        <f t="shared" ca="1" si="33"/>
        <v>0</v>
      </c>
      <c r="E54" t="s">
        <v>84</v>
      </c>
      <c r="F54" s="19" t="s">
        <v>91</v>
      </c>
      <c r="K54" s="157"/>
      <c r="L54" s="7" t="b">
        <f ca="1">IF(OR(AT24="Political", AT24="Military", AT24="Pilot",AT24="Support",AT24="Apollo",AT24=""),FALSE,IF(AT24="Cylon Leader",Cylon_Leader="No",IF(AT24="Lee Adama",Day_Choose="No",ISERROR(MATCH(AT24,$K$6:$K$31,0)))))</f>
        <v>0</v>
      </c>
      <c r="M54" s="11" t="s">
        <v>128</v>
      </c>
      <c r="N54" s="11"/>
      <c r="O54" s="11"/>
      <c r="P54" s="18"/>
      <c r="Q54" s="18"/>
      <c r="R54" s="148"/>
    </row>
    <row r="55" spans="3:18">
      <c r="C55" s="128">
        <f t="shared" ca="1" si="33"/>
        <v>0</v>
      </c>
      <c r="E55" t="s">
        <v>29</v>
      </c>
      <c r="F55" s="19"/>
      <c r="K55" s="157"/>
      <c r="L55" s="7" t="b">
        <f ca="1">IF(OR(AT25="Political", AT25="Military", AT25="Pilot",AT25="Support",AT25="Apollo",AT25=""),FALSE,IF(AT25="Cylon Leader",Cylon_Leader="No",IF(AT25="Lee Adama",Day_Choose="No",ISERROR(MATCH(AT25,$K$6:$K$31,0)))))</f>
        <v>0</v>
      </c>
      <c r="M55" s="11" t="s">
        <v>128</v>
      </c>
      <c r="N55" s="11"/>
      <c r="O55" s="11"/>
      <c r="P55" s="18"/>
      <c r="Q55" s="18"/>
      <c r="R55" s="148"/>
    </row>
    <row r="56" spans="3:18">
      <c r="C56" s="128">
        <f t="shared" ca="1" si="33"/>
        <v>0</v>
      </c>
      <c r="E56" t="s">
        <v>19</v>
      </c>
      <c r="F56" s="19"/>
      <c r="K56" s="157"/>
      <c r="L56" s="7" t="b">
        <f ca="1">IF(OR(AT26="Political", AT26="Military", AT26="Pilot",AT26="Support",AT26="Apollo",AT26=""),FALSE,IF(AT26="Cylon Leader",Cylon_Leader="No",IF(AT26="Lee Adama",Day_Choose="No",ISERROR(MATCH(AT26,$K$6:$K$31,0)))))</f>
        <v>0</v>
      </c>
      <c r="M56" s="11" t="s">
        <v>128</v>
      </c>
      <c r="N56" s="11"/>
      <c r="O56" s="11"/>
      <c r="P56" s="18"/>
      <c r="Q56" s="18"/>
      <c r="R56" s="148"/>
    </row>
    <row r="57" spans="3:18">
      <c r="C57" s="128">
        <f t="shared" ca="1" si="33"/>
        <v>0</v>
      </c>
      <c r="E57" t="s">
        <v>0</v>
      </c>
      <c r="F57" s="19"/>
      <c r="K57" s="157"/>
      <c r="L57" s="7" t="b">
        <f ca="1">AND(Num_Players=3,OR(COUNTIF(Musts,"Pilot")&gt;1,COUNTIF(Musts,"Military")&gt;1,COUNTIF(Musts,"Political")&gt;1))</f>
        <v>0</v>
      </c>
      <c r="M57" s="11" t="s">
        <v>125</v>
      </c>
      <c r="N57" s="11"/>
      <c r="O57" s="11"/>
      <c r="P57" s="18"/>
      <c r="Q57" s="18"/>
      <c r="R57" s="148"/>
    </row>
    <row r="58" spans="3:18">
      <c r="C58" s="128">
        <f t="shared" ca="1" si="33"/>
        <v>0</v>
      </c>
      <c r="E58" t="s">
        <v>27</v>
      </c>
      <c r="F58" s="19"/>
      <c r="K58" s="157"/>
      <c r="L58" s="7" t="b">
        <f ca="1">AND(Num_Players&gt;3,OR(COUNTIF(Musts,"Pilot")&gt;2,COUNTIF(Musts,"Military")&gt;2,COUNTIF(Musts,"Political")&gt;2))</f>
        <v>0</v>
      </c>
      <c r="M58" s="11" t="s">
        <v>125</v>
      </c>
      <c r="N58" s="11"/>
      <c r="O58" s="11"/>
      <c r="P58" s="18"/>
      <c r="Q58" s="18"/>
      <c r="R58" s="148"/>
    </row>
    <row r="59" spans="3:18">
      <c r="C59" s="128">
        <f t="shared" ca="1" si="33"/>
        <v>0</v>
      </c>
      <c r="E59" t="s">
        <v>28</v>
      </c>
      <c r="F59" s="19"/>
      <c r="K59" s="157"/>
      <c r="L59" s="7" t="b">
        <f ca="1">OR(COUNTIF(Must_nots,"Pilot")=Num_Players,COUNTIF(Must_nots,"Military")=Num_Players,COUNTIF(Must_nots,"Political")=Num_Players)</f>
        <v>0</v>
      </c>
      <c r="M59" s="11" t="s">
        <v>126</v>
      </c>
      <c r="N59" s="11"/>
      <c r="O59" s="11"/>
      <c r="P59" s="18"/>
      <c r="Q59" s="18"/>
      <c r="R59" s="148"/>
    </row>
    <row r="60" spans="3:18">
      <c r="C60" s="128">
        <f t="shared" ca="1" si="33"/>
        <v>0</v>
      </c>
      <c r="E60" t="s">
        <v>26</v>
      </c>
      <c r="F60" s="19"/>
      <c r="K60" s="157"/>
      <c r="L60" s="7" t="b">
        <f ca="1">Num_Players-COUNTIF(Must_nots,"Support")&lt;Sup_Min</f>
        <v>0</v>
      </c>
      <c r="M60" s="11" t="s">
        <v>127</v>
      </c>
      <c r="N60" s="11"/>
      <c r="O60" s="11"/>
      <c r="P60" s="18"/>
      <c r="Q60" s="18"/>
      <c r="R60" s="148"/>
    </row>
    <row r="61" spans="3:18">
      <c r="C61" s="128">
        <f t="shared" ca="1" si="33"/>
        <v>0</v>
      </c>
      <c r="E61" t="s">
        <v>64</v>
      </c>
      <c r="F61" s="19"/>
      <c r="K61" s="157"/>
      <c r="L61" s="11" t="b">
        <f ca="1">COUNTIF(Musts,"")+COUNTIF(Musts,"Support")+COUNTIF(Musts,E31&amp;" ("&amp;F31&amp;")")+COUNTIF(Musts,E15)+COUNTIF(Musts,E19)+COUNTIF(Musts,E23)+COUNTIF(Musts,E30)&lt;Sup_Min</f>
        <v>0</v>
      </c>
      <c r="M61" s="11" t="s">
        <v>127</v>
      </c>
      <c r="N61" s="11"/>
      <c r="O61" s="11"/>
      <c r="P61" s="18"/>
      <c r="Q61" s="18"/>
      <c r="R61" s="148"/>
    </row>
    <row r="62" spans="3:18">
      <c r="C62" s="128">
        <f t="shared" ca="1" si="33"/>
        <v>0</v>
      </c>
      <c r="E62" t="s">
        <v>4</v>
      </c>
      <c r="F62" s="19"/>
      <c r="K62" s="157"/>
      <c r="L62" s="11" t="b">
        <f ca="1">COUNTIF(Musts,"Support")&gt;Sup_Max</f>
        <v>0</v>
      </c>
      <c r="M62" s="11" t="s">
        <v>123</v>
      </c>
      <c r="N62" s="11"/>
      <c r="O62" s="11"/>
      <c r="P62" s="18"/>
      <c r="Q62" s="18"/>
      <c r="R62" s="148"/>
    </row>
    <row r="63" spans="3:18">
      <c r="C63" s="128">
        <f t="shared" ca="1" si="33"/>
        <v>0</v>
      </c>
      <c r="E63" t="s">
        <v>6</v>
      </c>
      <c r="F63" s="19"/>
      <c r="K63" s="146"/>
      <c r="L63" s="11" t="b">
        <f ca="1">AND(COUNTIF(Must_nots,"Cylon Leader")=Num_Players,Cylon_Leader="Yes")</f>
        <v>0</v>
      </c>
      <c r="M63" s="11" t="s">
        <v>129</v>
      </c>
      <c r="N63" s="11"/>
      <c r="O63" s="11"/>
      <c r="P63" s="18"/>
      <c r="Q63" s="18"/>
      <c r="R63" s="148"/>
    </row>
    <row r="64" spans="3:18" ht="15.75" thickBot="1">
      <c r="C64" s="128">
        <f t="shared" ca="1" si="33"/>
        <v>0</v>
      </c>
      <c r="E64" t="s">
        <v>85</v>
      </c>
      <c r="F64" s="19" t="s">
        <v>93</v>
      </c>
      <c r="K64" s="159"/>
      <c r="L64" s="151"/>
      <c r="M64" s="151"/>
      <c r="N64" s="151"/>
      <c r="O64" s="151"/>
      <c r="P64" s="152"/>
      <c r="Q64" s="152"/>
      <c r="R64" s="153"/>
    </row>
    <row r="65" spans="3:13">
      <c r="C65" s="128">
        <f t="shared" ca="1" si="33"/>
        <v>0</v>
      </c>
      <c r="E65" t="s">
        <v>86</v>
      </c>
      <c r="F65" s="19" t="s">
        <v>94</v>
      </c>
      <c r="L65" s="18" t="s">
        <v>119</v>
      </c>
      <c r="M65" s="18" t="e">
        <f ca="1">MATCH(TRUE,$L$46:$L$63,0)</f>
        <v>#N/A</v>
      </c>
    </row>
    <row r="66" spans="3:13">
      <c r="C66" s="128">
        <f t="shared" ca="1" si="33"/>
        <v>0</v>
      </c>
      <c r="E66" t="s">
        <v>22</v>
      </c>
      <c r="L66" s="18" t="s">
        <v>120</v>
      </c>
      <c r="M66" s="18" t="e">
        <f ca="1">OFFSET($M$45,M65,0)</f>
        <v>#N/A</v>
      </c>
    </row>
    <row r="67" spans="3:13">
      <c r="C67" s="128">
        <f t="shared" ca="1" si="33"/>
        <v>0</v>
      </c>
      <c r="E67" t="s">
        <v>3</v>
      </c>
    </row>
    <row r="70" spans="3:13">
      <c r="E70" t="s">
        <v>81</v>
      </c>
    </row>
    <row r="71" spans="3:13">
      <c r="E71" t="s">
        <v>82</v>
      </c>
    </row>
    <row r="72" spans="3:13">
      <c r="E72" t="s">
        <v>83</v>
      </c>
    </row>
    <row r="73" spans="3:13">
      <c r="E73" t="s">
        <v>84</v>
      </c>
    </row>
    <row r="74" spans="3:13">
      <c r="E74" t="s">
        <v>85</v>
      </c>
    </row>
    <row r="75" spans="3:13">
      <c r="E75" t="s">
        <v>86</v>
      </c>
    </row>
  </sheetData>
  <sortState ref="E34:E59">
    <sortCondition ref="E34:E59"/>
  </sortState>
  <mergeCells count="3">
    <mergeCell ref="AE4:AF4"/>
    <mergeCell ref="AE5:AF5"/>
    <mergeCell ref="AG19:AI19"/>
  </mergeCells>
  <conditionalFormatting sqref="AL19:AO19 AQ19 AQ33">
    <cfRule type="expression" dxfId="3" priority="4" stopIfTrue="1">
      <formula>$G$18="INVALID"</formula>
    </cfRule>
  </conditionalFormatting>
  <conditionalFormatting sqref="AP19">
    <cfRule type="expression" dxfId="2" priority="3" stopIfTrue="1">
      <formula>$G$18="INVALID"</formula>
    </cfRule>
  </conditionalFormatting>
  <conditionalFormatting sqref="AL33:AO33">
    <cfRule type="expression" dxfId="1" priority="2" stopIfTrue="1">
      <formula>$G$18="INVALID"</formula>
    </cfRule>
  </conditionalFormatting>
  <conditionalFormatting sqref="AP33">
    <cfRule type="expression" dxfId="0" priority="1" stopIfTrue="1">
      <formula>$G$18="INVALID"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12</vt:i4>
      </vt:variant>
    </vt:vector>
  </HeadingPairs>
  <TitlesOfParts>
    <vt:vector size="14" baseType="lpstr">
      <vt:lpstr>Choose</vt:lpstr>
      <vt:lpstr>Calcs</vt:lpstr>
      <vt:lpstr>All_Chars</vt:lpstr>
      <vt:lpstr>Cylon_Leader</vt:lpstr>
      <vt:lpstr>Day_Choose</vt:lpstr>
      <vt:lpstr>Exo_Choose</vt:lpstr>
      <vt:lpstr>Leg_Team_Check</vt:lpstr>
      <vt:lpstr>Leg_Team_Reason</vt:lpstr>
      <vt:lpstr>Num_Players</vt:lpstr>
      <vt:lpstr>Peg_Choose</vt:lpstr>
      <vt:lpstr>Roles</vt:lpstr>
      <vt:lpstr>Sup_Max</vt:lpstr>
      <vt:lpstr>Sup_Min</vt:lpstr>
      <vt:lpstr>Validity</vt:lpstr>
    </vt:vector>
  </TitlesOfParts>
  <Company>Aviva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Pickering</dc:creator>
  <cp:lastModifiedBy>Vladimir Frolkin</cp:lastModifiedBy>
  <dcterms:created xsi:type="dcterms:W3CDTF">2016-01-12T11:40:32Z</dcterms:created>
  <dcterms:modified xsi:type="dcterms:W3CDTF">2017-12-21T18:45:48Z</dcterms:modified>
</cp:coreProperties>
</file>